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7Bbh8pkhMLmoPkJEchRX8SSNgVp7r6BRsqZWOJsCLxKuX+580waXpWra4u6u5vu3dBpe2WcL9XHW9mVAXk/Kkg==" workbookSaltValue="QLb2LqM0Oamiuelhqrvm2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D18" i="12"/>
  <c r="ER19" i="8"/>
  <c r="EQ19" i="8"/>
  <c r="BA13" i="16"/>
  <c r="AC17" i="11"/>
  <c r="G18" i="12"/>
  <c r="W19" i="13"/>
  <c r="Z19" i="8"/>
  <c r="AL13" i="16"/>
  <c r="S13" i="16"/>
  <c r="P13" i="16"/>
  <c r="AN13" i="20"/>
  <c r="Z13" i="17"/>
  <c r="H13" i="12"/>
  <c r="BG12" i="8"/>
  <c r="BD9" i="8"/>
  <c r="BA13" i="8"/>
  <c r="T13" i="20"/>
  <c r="T13" i="16"/>
  <c r="AP13" i="16"/>
  <c r="T18" i="17"/>
  <c r="BG15" i="13"/>
  <c r="J20" i="20"/>
  <c r="AF20" i="20"/>
  <c r="M20" i="20"/>
  <c r="AG20" i="20"/>
  <c r="S20" i="20"/>
  <c r="Z20" i="20"/>
  <c r="AM20" i="20"/>
  <c r="AK20" i="20"/>
  <c r="F20" i="20"/>
  <c r="K20" i="20"/>
  <c r="W20" i="21"/>
  <c r="AN17" i="11" l="1"/>
  <c r="E18" i="12"/>
  <c r="T19" i="8"/>
  <c r="AJ19" i="8"/>
  <c r="AR18" i="11"/>
  <c r="I19" i="8"/>
  <c r="AH13" i="16"/>
  <c r="BF12" i="8"/>
  <c r="AO12" i="11"/>
  <c r="AY13" i="8"/>
  <c r="T13" i="12"/>
  <c r="I10" i="3"/>
  <c r="BF9" i="8"/>
  <c r="D17" i="6"/>
  <c r="M18" i="2"/>
  <c r="R8" i="9"/>
  <c r="AP16" i="20" s="1"/>
  <c r="BD15" i="8"/>
  <c r="G18" i="2"/>
  <c r="BE9" i="8"/>
  <c r="AC12" i="11"/>
  <c r="BD11" i="13"/>
  <c r="BB13" i="13"/>
  <c r="F11" i="16"/>
  <c r="X12" i="21"/>
  <c r="BH9" i="16"/>
  <c r="BH15" i="11"/>
  <c r="Q17" i="20"/>
  <c r="Q18" i="20" s="1"/>
  <c r="BL17" i="11"/>
  <c r="BK12" i="11"/>
  <c r="BF10" i="11"/>
  <c r="BK9" i="11"/>
  <c r="BK11" i="11"/>
  <c r="BI10" i="11"/>
  <c r="Q10" i="21"/>
  <c r="BI15" i="11"/>
  <c r="BJ15" i="11"/>
  <c r="AP15" i="20"/>
  <c r="T17" i="16"/>
  <c r="BU15" i="17"/>
  <c r="BW17" i="20"/>
  <c r="BW16" i="20"/>
  <c r="BU9" i="17"/>
  <c r="BU17" i="17"/>
  <c r="BV9" i="16"/>
  <c r="S11" i="14"/>
  <c r="V11" i="14" s="1"/>
  <c r="P15" i="17"/>
  <c r="BL10" i="11"/>
  <c r="BK16"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J17" i="11"/>
  <c r="BH15" i="16"/>
  <c r="V11" i="11"/>
  <c r="S9" i="14"/>
  <c r="V9" i="14" s="1"/>
  <c r="BJ12" i="11"/>
  <c r="BG15" i="11"/>
  <c r="R17" i="20"/>
  <c r="R18" i="20" s="1"/>
  <c r="BK17" i="11"/>
  <c r="T15" i="16"/>
  <c r="BW9" i="20"/>
  <c r="BV16" i="16"/>
  <c r="BV15" i="16"/>
  <c r="BW15" i="20"/>
  <c r="BV10" i="16"/>
  <c r="BU16" i="17"/>
  <c r="S12" i="14"/>
  <c r="V12" i="14" s="1"/>
  <c r="S15" i="16"/>
  <c r="BF12" i="11"/>
  <c r="BL15" i="11"/>
  <c r="BJ10" i="11"/>
  <c r="BH11" i="11"/>
  <c r="S17" i="17"/>
  <c r="BH12" i="16"/>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V15"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H20" i="17"/>
  <c r="O20" i="20"/>
  <c r="O16"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<sst xmlns="http://schemas.openxmlformats.org/spreadsheetml/2006/main" count="2066" uniqueCount="906">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</sst>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E+M50Wwxec+m4RDFEQnuFl3I6W8/7lwS/Sb/G2aMoDx2CLDqBlhna8EJ1XMtUMe15ZWR/C6LHYsbBhr+2/4rA==" saltValue="i/Vxlk9gxTP/xb4ikUDh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6.5686070686070686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98</v>
      </c>
      <c r="F10" s="229">
        <f>IF(ISNUMBER(Datos!K10),Datos!K10," - ")</f>
        <v>104</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-0.54545454545454541</v>
      </c>
      <c r="L10" s="1028">
        <f>IF(ISNUMBER(NºAsuntos!I10/NºAsuntos!G10),(NºAsuntos!I10/NºAsuntos!G10)*11," - ")</f>
        <v>0.52884615384615385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0</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98</v>
      </c>
      <c r="F13" s="1054">
        <f>SUBTOTAL(9,F9:F12)</f>
        <v>104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1637</v>
      </c>
      <c r="D15" s="228">
        <f>IF(ISNUMBER(IF(D_I="SI",Datos!I15,Datos!I15+Datos!AC15)),IF(D_I="SI",Datos!I15,Datos!I15+Datos!AC15)," - ")</f>
        <v>1531</v>
      </c>
      <c r="E15" s="229">
        <f>IF(ISNUMBER(IF(D_I="SI",Datos!J15,Datos!J15+Datos!AD15)),IF(D_I="SI",Datos!J15,Datos!J15+Datos!AD15)," - ")</f>
        <v>14033</v>
      </c>
      <c r="F15" s="229">
        <f>IF(ISNUMBER(IF(D_I="SI",Datos!K15,Datos!K15+Datos!AE15)),IF(D_I="SI",Datos!K15,Datos!K15+Datos!AE15)," - ")</f>
        <v>13780</v>
      </c>
      <c r="G15" s="1037" t="str">
        <f>IF(Datos!E15&lt;&gt;"",Datos!E15,Datos!D15)</f>
        <v>03</v>
      </c>
      <c r="H15" s="230">
        <f>IF(ISNUMBER(IF(D_I="SI",Datos!L15,Datos!L15+Datos!AF15)),IF(D_I="SI",Datos!L15,Datos!L15+Datos!AF15)," - ")</f>
        <v>1890</v>
      </c>
      <c r="I15" s="1047" t="str">
        <f>IF(ISNUMBER(Datos!AS15/Datos!BM15),Datos!AS15/Datos!BM15," - ")</f>
        <v xml:space="preserve"> - </v>
      </c>
      <c r="J15" s="1048">
        <f>IF(ISNUMBER(Datos!BY15/Datos!CN15),Datos!BY15/Datos!CN15," - ")</f>
        <v>0</v>
      </c>
      <c r="K15" s="233">
        <f t="shared" ref="K15:K17" si="3">IF(ISNUMBER((E15-F15)/C15),(E15-F15)/C15," - ")</f>
        <v>0.15455100794135615</v>
      </c>
      <c r="L15" s="1028">
        <f>IF(ISNUMBER(NºAsuntos!I15/NºAsuntos!G15),(NºAsuntos!I15/NºAsuntos!G15)*11," - ")</f>
        <v>1.508708272859216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0</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0</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116</v>
      </c>
      <c r="D17" s="228">
        <f>IF(ISNUMBER(IF(D_I="SI",Datos!I17,Datos!I17+Datos!AC17)),IF(D_I="SI",Datos!I17,Datos!I17+Datos!AC17)," - ")</f>
        <v>108</v>
      </c>
      <c r="E17" s="229">
        <f>IF(ISNUMBER(IF(D_I="SI",Datos!J17,Datos!J17+Datos!AD17)),IF(D_I="SI",Datos!J17,Datos!J17+Datos!AD17)," - ")</f>
        <v>627</v>
      </c>
      <c r="F17" s="229">
        <f>IF(ISNUMBER(IF(D_I="SI",Datos!K17,Datos!K17+Datos!AE17)),IF(D_I="SI",Datos!K17,Datos!K17+Datos!AE17)," - ")</f>
        <v>650</v>
      </c>
      <c r="G17" s="1037" t="str">
        <f>IF(Datos!E17&lt;&gt;"",Datos!E17,Datos!D17)</f>
        <v>37</v>
      </c>
      <c r="H17" s="230">
        <f>IF(ISNUMBER(IF(D_I="SI",Datos!L17,Datos!L17+Datos!AF17)),IF(D_I="SI",Datos!L17,Datos!L17+Datos!AF17)," - ")</f>
        <v>93</v>
      </c>
      <c r="I17" s="1047" t="str">
        <f>IF(ISNUMBER(Datos!AS17/Datos!BM17),Datos!AS17/Datos!BM17," - ")</f>
        <v xml:space="preserve"> - </v>
      </c>
      <c r="J17" s="1048" t="str">
        <f>IF(ISNUMBER((Datos!BY17+Datos!BZ17)/Datos!CN17),(Datos!BY17+Datos!BZ17)/Datos!CN17," - ")</f>
        <v xml:space="preserve"> - </v>
      </c>
      <c r="K17" s="233">
        <f t="shared" si="3"/>
        <v>-0.19827586206896552</v>
      </c>
      <c r="L17" s="1028">
        <f>IF(ISNUMBER(NºAsuntos!I17/NºAsuntos!G17),(NºAsuntos!I17/NºAsuntos!G17)*11," - ")</f>
        <v>1.5738461538461539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1753</v>
      </c>
      <c r="D18" s="1052">
        <f>SUBTOTAL(9,D15:D17)</f>
        <v>1640</v>
      </c>
      <c r="E18" s="1053">
        <f>SUBTOTAL(9,E15:E17)</f>
        <v>14660</v>
      </c>
      <c r="F18" s="1053">
        <f>SUBTOTAL(9,F15:F17)</f>
        <v>14430</v>
      </c>
      <c r="G18" s="1055" t="str">
        <f ca="1">INDIRECT(CONCATENATE("G",ROW()-1))</f>
        <v>37</v>
      </c>
      <c r="H18" s="1056">
        <f ca="1">SUMIF(G$14:G17,G18,H$14:H17)</f>
        <v>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1764</v>
      </c>
      <c r="D19" s="1074">
        <f>SUBTOTAL(9,D9:D18)</f>
        <v>1651</v>
      </c>
      <c r="E19" s="1075">
        <f>SUBTOTAL(9,E9:E18)</f>
        <v>14758</v>
      </c>
      <c r="F19" s="1075">
        <f>SUBTOTAL(9,F9:F18)</f>
        <v>14534</v>
      </c>
      <c r="G19" s="1076"/>
      <c r="H19" s="1077">
        <f ca="1">SUMIF(B9:B18,"TOTAL",H9:H18)</f>
        <v>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QT4yeP7Dc9lW7tlpyN7rYdffpdaHqZvoQbBOCbkTTIL37WLs54YjOSJsfs1e63hxSYSou2lImdmuHfd9UjFt0A==" saltValue="XMkvdNpxeL5Uu5sX0z3E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rnuyO+F9hJjhY+8PBHwOsSxw8XfXzW1FhsxcW9MO94QrFmPGmTFmRM+9G7uxXpK6PdjTmboBAfQIdDWRWrxIg==" saltValue="MTX/pmZaew/ayy9JTMxG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5083</v>
      </c>
      <c r="J9" s="184">
        <v>11144</v>
      </c>
      <c r="K9" s="184">
        <v>10103</v>
      </c>
      <c r="L9" s="184">
        <v>6106</v>
      </c>
      <c r="M9" s="184">
        <v>1787</v>
      </c>
      <c r="N9" s="184">
        <v>6415</v>
      </c>
      <c r="O9" s="184">
        <v>2934</v>
      </c>
      <c r="P9" s="184">
        <v>1490</v>
      </c>
      <c r="Q9" s="184">
        <v>1602</v>
      </c>
      <c r="R9" s="184">
        <v>6792</v>
      </c>
      <c r="S9" s="184">
        <v>4226</v>
      </c>
      <c r="T9" s="184">
        <v>9709</v>
      </c>
      <c r="U9" s="184">
        <v>8857</v>
      </c>
      <c r="V9" s="184">
        <v>5083</v>
      </c>
      <c r="W9" s="184">
        <v>1626</v>
      </c>
      <c r="X9" s="191">
        <v>5426</v>
      </c>
      <c r="Y9" s="194">
        <v>179</v>
      </c>
      <c r="Z9" s="184">
        <v>511</v>
      </c>
      <c r="AA9" s="184">
        <v>479</v>
      </c>
      <c r="AB9" s="184">
        <v>213</v>
      </c>
      <c r="AC9" s="184">
        <v>0</v>
      </c>
      <c r="AD9" s="184">
        <v>0</v>
      </c>
      <c r="AE9" s="184">
        <v>0</v>
      </c>
      <c r="AF9" s="191">
        <v>0</v>
      </c>
      <c r="AG9" s="194">
        <v>134</v>
      </c>
      <c r="AH9" s="184">
        <v>608</v>
      </c>
      <c r="AI9" s="184">
        <v>558</v>
      </c>
      <c r="AJ9" s="195">
        <v>179</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4360</v>
      </c>
      <c r="AZ9" s="123">
        <f>IF(ISNUMBER(IF(J_V="SI",T9,T9+AH9)),IF(J_V="SI",T9,T9+AH9)," - ")</f>
        <v>10317</v>
      </c>
      <c r="BA9" s="124">
        <f>IF(ISNUMBER(IF(J_V="SI",U9,U9+AI9)),IF(J_V="SI",U9,U9+AI9)," - ")</f>
        <v>9415</v>
      </c>
      <c r="BB9" s="124">
        <f>IF(ISNUMBER(IF(J_V="SI",V9,V9+AJ9)),IF(J_V="SI",V9,V9+AJ9)," - ")</f>
        <v>5262</v>
      </c>
      <c r="BC9" s="125">
        <f>IF(ISNUMBER(X9),X9," - ")</f>
        <v>5426</v>
      </c>
      <c r="BD9" s="126">
        <f>IF(ISNUMBER(BA9/AZ9),BA9/AZ9," - ")</f>
        <v>0.91257148395851506</v>
      </c>
      <c r="BE9" s="127">
        <f>IF(ISNUMBER(BB9/BA9),BB9/BA9, " - ")</f>
        <v>0.55889537971322356</v>
      </c>
      <c r="BF9" s="127">
        <f>IF(ISNUMBER(BC9/BA9),BC9/BA9, " - ")</f>
        <v>0.57631439192777478</v>
      </c>
      <c r="BG9" s="199">
        <f>IF(ISNUMBER((AY9+AZ9)/BA9),(AY9+AZ9)/BA9," - ")</f>
        <v>1.5588953797132237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98</v>
      </c>
      <c r="K10" s="184">
        <v>104</v>
      </c>
      <c r="L10" s="184">
        <v>5</v>
      </c>
      <c r="M10" s="184">
        <v>40</v>
      </c>
      <c r="N10" s="184">
        <v>57</v>
      </c>
      <c r="O10" s="184">
        <v>4</v>
      </c>
      <c r="P10" s="184">
        <v>17</v>
      </c>
      <c r="Q10" s="184">
        <v>6</v>
      </c>
      <c r="R10" s="184">
        <v>30</v>
      </c>
      <c r="S10" s="184">
        <v>25</v>
      </c>
      <c r="T10" s="184">
        <v>79</v>
      </c>
      <c r="U10" s="184">
        <v>93</v>
      </c>
      <c r="V10" s="184">
        <v>11</v>
      </c>
      <c r="W10" s="184">
        <v>37</v>
      </c>
      <c r="X10" s="191">
        <v>43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786</v>
      </c>
      <c r="AT10" s="195"/>
      <c r="AU10" s="203"/>
      <c r="AV10" s="195"/>
      <c r="AW10" s="203"/>
      <c r="AX10" s="195"/>
      <c r="AY10" s="128">
        <f t="shared" ref="AY10:BC10" si="0">IF(ISNUMBER(S10),S10," - ")</f>
        <v>25</v>
      </c>
      <c r="AZ10" s="129">
        <f t="shared" si="0"/>
        <v>79</v>
      </c>
      <c r="BA10" s="129">
        <f t="shared" si="0"/>
        <v>93</v>
      </c>
      <c r="BB10" s="129">
        <f t="shared" si="0"/>
        <v>11</v>
      </c>
      <c r="BC10" s="125">
        <f t="shared" si="0"/>
        <v>37</v>
      </c>
      <c r="BD10" s="126">
        <f>IF(ISNUMBER(BA10/AZ10),BA10/AZ10," - ")</f>
        <v>1.1772151898734178</v>
      </c>
      <c r="BE10" s="127">
        <f>IF(ISNUMBER(BB10/BA10),BB10/BA10, " - ")</f>
        <v>0.11827956989247312</v>
      </c>
      <c r="BF10" s="127">
        <f>IF(ISNUMBER(BC10/BA10),BC10/BA10, " - ")</f>
        <v>0.39784946236559138</v>
      </c>
      <c r="BG10" s="199">
        <f>IF(ISNUMBER((AY10+AZ10)/BA10),(AY10+AZ10)/BA10," - ")</f>
        <v>1.118279569892473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1</v>
      </c>
      <c r="L12" s="186">
        <v>0</v>
      </c>
      <c r="M12" s="186">
        <v>0</v>
      </c>
      <c r="N12" s="186">
        <v>6</v>
      </c>
      <c r="O12" s="184">
        <v>49</v>
      </c>
      <c r="P12" s="186">
        <v>9</v>
      </c>
      <c r="Q12" s="186">
        <v>84</v>
      </c>
      <c r="R12" s="186">
        <v>590</v>
      </c>
      <c r="S12" s="186">
        <v>1</v>
      </c>
      <c r="T12" s="186">
        <v>0</v>
      </c>
      <c r="U12" s="186">
        <v>0</v>
      </c>
      <c r="V12" s="186">
        <v>1</v>
      </c>
      <c r="W12" s="186">
        <v>0</v>
      </c>
      <c r="X12" s="192">
        <v>0</v>
      </c>
      <c r="Y12" s="194">
        <v>0</v>
      </c>
      <c r="Z12" s="184">
        <v>5</v>
      </c>
      <c r="AA12" s="184">
        <v>5</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795</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5095</v>
      </c>
      <c r="J13" s="187">
        <f t="shared" si="6"/>
        <v>11242</v>
      </c>
      <c r="K13" s="187">
        <f t="shared" si="6"/>
        <v>10208</v>
      </c>
      <c r="L13" s="187">
        <f t="shared" si="6"/>
        <v>6111</v>
      </c>
      <c r="M13" s="187">
        <f t="shared" si="6"/>
        <v>1827</v>
      </c>
      <c r="N13" s="187">
        <f t="shared" si="6"/>
        <v>6478</v>
      </c>
      <c r="O13" s="187">
        <f t="shared" si="6"/>
        <v>2987</v>
      </c>
      <c r="P13" s="187">
        <f t="shared" si="6"/>
        <v>1516</v>
      </c>
      <c r="Q13" s="187">
        <f t="shared" si="6"/>
        <v>1692</v>
      </c>
      <c r="R13" s="187">
        <f t="shared" si="6"/>
        <v>7412</v>
      </c>
      <c r="S13" s="187">
        <f t="shared" si="6"/>
        <v>4252</v>
      </c>
      <c r="T13" s="187">
        <f t="shared" si="6"/>
        <v>9788</v>
      </c>
      <c r="U13" s="187">
        <f t="shared" si="6"/>
        <v>8950</v>
      </c>
      <c r="V13" s="187">
        <f t="shared" si="6"/>
        <v>5095</v>
      </c>
      <c r="W13" s="187">
        <f t="shared" si="6"/>
        <v>1663</v>
      </c>
      <c r="X13" s="187">
        <f t="shared" si="6"/>
        <v>5469</v>
      </c>
      <c r="Y13" s="187">
        <f t="shared" si="6"/>
        <v>179</v>
      </c>
      <c r="Z13" s="187">
        <f t="shared" si="6"/>
        <v>516</v>
      </c>
      <c r="AA13" s="187">
        <f t="shared" si="6"/>
        <v>484</v>
      </c>
      <c r="AB13" s="187">
        <f t="shared" si="6"/>
        <v>213</v>
      </c>
      <c r="AC13" s="187">
        <f t="shared" si="6"/>
        <v>0</v>
      </c>
      <c r="AD13" s="187">
        <f t="shared" si="6"/>
        <v>0</v>
      </c>
      <c r="AE13" s="187">
        <f t="shared" si="6"/>
        <v>0</v>
      </c>
      <c r="AF13" s="187">
        <f>SUBTOTAL(9,AF9:AF12)</f>
        <v>0</v>
      </c>
      <c r="AG13" s="187">
        <f t="shared" ref="AG13:AT13" si="7">SUBTOTAL(9,AG8:AG12)</f>
        <v>134</v>
      </c>
      <c r="AH13" s="187">
        <f t="shared" si="7"/>
        <v>608</v>
      </c>
      <c r="AI13" s="187">
        <f t="shared" si="7"/>
        <v>558</v>
      </c>
      <c r="AJ13" s="187">
        <f t="shared" si="7"/>
        <v>179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4386</v>
      </c>
      <c r="AZ13" s="187">
        <f>SUBTOTAL(9,AZ8:AZ12)</f>
        <v>10396</v>
      </c>
      <c r="BA13" s="187">
        <f>SUBTOTAL(9,BA8:BA12)</f>
        <v>9508</v>
      </c>
      <c r="BB13" s="187">
        <f>SUBTOTAL(9,BB8:BB12)</f>
        <v>5274</v>
      </c>
      <c r="BC13" s="187">
        <f>SUBTOTAL(9,BC8:BC12)</f>
        <v>5463</v>
      </c>
      <c r="BD13" s="208">
        <f>IF(ISNUMBER(BA13/AZ13),BA13/AZ13," - ")</f>
        <v>0.9145825317429781</v>
      </c>
      <c r="BE13" s="209">
        <f>IF(ISNUMBER(BB13/BA13),BB13/BA13, " - ")</f>
        <v>0.55469078670593186</v>
      </c>
      <c r="BF13" s="209">
        <f>IF(ISNUMBER(BC13/BA13),BC13/BA13, " - ")</f>
        <v>0.57456878418174173</v>
      </c>
      <c r="BG13" s="210">
        <f>IF(ISNUMBER((AY13+AZ13)/BA13),(AY13+AZ13)/BA13," - ")</f>
        <v>1.5546907867059319</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1531</v>
      </c>
      <c r="J15" s="186">
        <v>14033</v>
      </c>
      <c r="K15" s="186">
        <v>13780</v>
      </c>
      <c r="L15" s="186">
        <v>1890</v>
      </c>
      <c r="M15" s="186">
        <v>1570</v>
      </c>
      <c r="N15" s="186">
        <v>9799</v>
      </c>
      <c r="O15" s="184">
        <v>221</v>
      </c>
      <c r="P15" s="186">
        <v>330</v>
      </c>
      <c r="Q15" s="186">
        <v>355</v>
      </c>
      <c r="R15" s="186">
        <v>378</v>
      </c>
      <c r="S15" s="186">
        <v>1465</v>
      </c>
      <c r="T15" s="186">
        <v>13675</v>
      </c>
      <c r="U15" s="186">
        <v>13717</v>
      </c>
      <c r="V15" s="186">
        <v>1531</v>
      </c>
      <c r="W15" s="186">
        <v>1482</v>
      </c>
      <c r="X15" s="192">
        <v>9602</v>
      </c>
      <c r="Y15" s="205">
        <v>0</v>
      </c>
      <c r="Z15" s="186">
        <v>0</v>
      </c>
      <c r="AA15" s="186">
        <v>0</v>
      </c>
      <c r="AB15" s="186">
        <v>0</v>
      </c>
      <c r="AC15" s="186">
        <v>0</v>
      </c>
      <c r="AD15" s="186">
        <v>434</v>
      </c>
      <c r="AE15" s="186">
        <v>434</v>
      </c>
      <c r="AF15" s="192">
        <v>0</v>
      </c>
      <c r="AG15" s="205">
        <v>0</v>
      </c>
      <c r="AH15" s="186">
        <v>0</v>
      </c>
      <c r="AI15" s="186">
        <v>0</v>
      </c>
      <c r="AJ15" s="206">
        <v>0</v>
      </c>
      <c r="AK15" s="185">
        <v>0</v>
      </c>
      <c r="AL15" s="186">
        <v>676</v>
      </c>
      <c r="AM15" s="186">
        <v>676</v>
      </c>
      <c r="AN15" s="192">
        <v>0</v>
      </c>
      <c r="AO15" s="262">
        <v>4</v>
      </c>
      <c r="AP15" s="158">
        <v>4</v>
      </c>
      <c r="AQ15" s="158">
        <v>4</v>
      </c>
      <c r="AR15" s="158">
        <v>4</v>
      </c>
      <c r="AS15" s="343" t="s">
        <v>519</v>
      </c>
      <c r="AT15" s="206" t="s">
        <v>326</v>
      </c>
      <c r="AU15" s="205"/>
      <c r="AV15" s="206"/>
      <c r="AW15" s="205"/>
      <c r="AX15" s="206"/>
      <c r="AY15" s="128">
        <f t="shared" ref="AY15:BB16" si="9">IF(ISNUMBER(IF(D_I="SI",S15,S15+AK15)),IF(D_I="SI",S15,S15+AK15)," - ")</f>
        <v>1465</v>
      </c>
      <c r="AZ15" s="129">
        <f t="shared" si="9"/>
        <v>13675</v>
      </c>
      <c r="BA15" s="129">
        <f t="shared" si="9"/>
        <v>13717</v>
      </c>
      <c r="BB15" s="129">
        <f t="shared" si="9"/>
        <v>1531</v>
      </c>
      <c r="BC15" s="125">
        <f>IF(ISNUMBER(W15),W15," - ")</f>
        <v>1482</v>
      </c>
      <c r="BD15" s="126">
        <f>IF(ISNUMBER(BA15/AZ15),BA15/AZ15," - ")</f>
        <v>1.0030712979890311</v>
      </c>
      <c r="BE15" s="127">
        <f>IF(ISNUMBER(BB15/BA15),BB15/BA15, " - ")</f>
        <v>0.11161332652912444</v>
      </c>
      <c r="BF15" s="127">
        <f>IF(ISNUMBER(BC15/BA15),BC15/BA15, " - ")</f>
        <v>0.10804111686228768</v>
      </c>
      <c r="BG15" s="199">
        <f t="shared" ref="BG15:BG16" si="10">IF(ISNUMBER((AY15+AZ15)/BA15),(AY15+AZ15)/BA15," - ")</f>
        <v>1.1037398848144637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v>
      </c>
      <c r="J16" s="186">
        <v>0</v>
      </c>
      <c r="K16" s="186">
        <v>0</v>
      </c>
      <c r="L16" s="186">
        <v>0</v>
      </c>
      <c r="M16" s="186">
        <v>0</v>
      </c>
      <c r="N16" s="186">
        <v>0</v>
      </c>
      <c r="O16" s="184">
        <v>0</v>
      </c>
      <c r="P16" s="186">
        <v>0</v>
      </c>
      <c r="Q16" s="186">
        <v>0</v>
      </c>
      <c r="R16" s="186">
        <v>1</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108</v>
      </c>
      <c r="J17" s="186">
        <v>627</v>
      </c>
      <c r="K17" s="186">
        <v>650</v>
      </c>
      <c r="L17" s="186">
        <v>93</v>
      </c>
      <c r="M17" s="186">
        <v>188</v>
      </c>
      <c r="N17" s="186">
        <v>332</v>
      </c>
      <c r="O17" s="186">
        <v>21</v>
      </c>
      <c r="P17" s="186">
        <v>19</v>
      </c>
      <c r="Q17" s="186">
        <v>30</v>
      </c>
      <c r="R17" s="186">
        <v>25</v>
      </c>
      <c r="S17" s="186">
        <v>143</v>
      </c>
      <c r="T17" s="186">
        <v>675</v>
      </c>
      <c r="U17" s="186">
        <v>685</v>
      </c>
      <c r="V17" s="186">
        <v>108</v>
      </c>
      <c r="W17" s="186">
        <v>199</v>
      </c>
      <c r="X17" s="192">
        <v>289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785</v>
      </c>
      <c r="AT17" s="212"/>
      <c r="AU17" s="203"/>
      <c r="AV17" s="212"/>
      <c r="AW17" s="203"/>
      <c r="AX17" s="212"/>
      <c r="AY17" s="128">
        <f t="shared" ref="AY17:BB17" si="14">IF(ISNUMBER(S17),S17," - ")</f>
        <v>143</v>
      </c>
      <c r="AZ17" s="129">
        <f t="shared" si="14"/>
        <v>675</v>
      </c>
      <c r="BA17" s="129">
        <f t="shared" si="14"/>
        <v>685</v>
      </c>
      <c r="BB17" s="129">
        <f t="shared" si="14"/>
        <v>108</v>
      </c>
      <c r="BC17" s="125">
        <f>IF(ISNUMBER(W17),W17," - ")</f>
        <v>199</v>
      </c>
      <c r="BD17" s="126">
        <f>IF(ISNUMBER(BA17/AZ17),BA17/AZ17," - ")</f>
        <v>1.0148148148148148</v>
      </c>
      <c r="BE17" s="127">
        <f>IF(ISNUMBER(BB17/BA17),BB17/BA17, " - ")</f>
        <v>0.15766423357664233</v>
      </c>
      <c r="BF17" s="127">
        <f>IF(ISNUMBER(BC17/BA17),BC17/BA17, " - ")</f>
        <v>0.29051094890510948</v>
      </c>
      <c r="BG17" s="199">
        <f>IF(ISNUMBER((AY17+AZ17)/BA17),(AY17+AZ17)/BA17," - ")</f>
        <v>1.1941605839416058</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1640</v>
      </c>
      <c r="J18" s="187">
        <f t="shared" si="15"/>
        <v>14660</v>
      </c>
      <c r="K18" s="187">
        <f t="shared" si="15"/>
        <v>14430</v>
      </c>
      <c r="L18" s="187">
        <f t="shared" si="15"/>
        <v>1983</v>
      </c>
      <c r="M18" s="187">
        <f t="shared" si="15"/>
        <v>1758</v>
      </c>
      <c r="N18" s="187">
        <f t="shared" si="15"/>
        <v>10131</v>
      </c>
      <c r="O18" s="187">
        <f t="shared" si="15"/>
        <v>242</v>
      </c>
      <c r="P18" s="187">
        <f t="shared" si="15"/>
        <v>349</v>
      </c>
      <c r="Q18" s="187">
        <f t="shared" si="15"/>
        <v>385</v>
      </c>
      <c r="R18" s="187">
        <f t="shared" si="15"/>
        <v>404</v>
      </c>
      <c r="S18" s="187">
        <f t="shared" si="15"/>
        <v>1609</v>
      </c>
      <c r="T18" s="187">
        <f t="shared" si="15"/>
        <v>14350</v>
      </c>
      <c r="U18" s="187">
        <f t="shared" si="15"/>
        <v>14402</v>
      </c>
      <c r="V18" s="187">
        <f t="shared" si="15"/>
        <v>1640</v>
      </c>
      <c r="W18" s="187">
        <f t="shared" si="15"/>
        <v>1681</v>
      </c>
      <c r="X18" s="187">
        <f t="shared" si="15"/>
        <v>9891</v>
      </c>
      <c r="Y18" s="187">
        <f t="shared" si="15"/>
        <v>0</v>
      </c>
      <c r="Z18" s="187">
        <f t="shared" si="15"/>
        <v>0</v>
      </c>
      <c r="AA18" s="187">
        <f t="shared" si="15"/>
        <v>0</v>
      </c>
      <c r="AB18" s="187">
        <f t="shared" si="15"/>
        <v>0</v>
      </c>
      <c r="AC18" s="187">
        <f t="shared" si="15"/>
        <v>0</v>
      </c>
      <c r="AD18" s="187">
        <f t="shared" si="15"/>
        <v>434</v>
      </c>
      <c r="AE18" s="187">
        <f t="shared" si="15"/>
        <v>434</v>
      </c>
      <c r="AF18" s="187">
        <f t="shared" si="15"/>
        <v>0</v>
      </c>
      <c r="AG18" s="187">
        <f t="shared" si="15"/>
        <v>0</v>
      </c>
      <c r="AH18" s="187">
        <f t="shared" si="15"/>
        <v>0</v>
      </c>
      <c r="AI18" s="187">
        <f t="shared" si="15"/>
        <v>0</v>
      </c>
      <c r="AJ18" s="187">
        <f t="shared" si="15"/>
        <v>0</v>
      </c>
      <c r="AK18" s="187">
        <f t="shared" si="15"/>
        <v>0</v>
      </c>
      <c r="AL18" s="187">
        <f t="shared" si="15"/>
        <v>676</v>
      </c>
      <c r="AM18" s="187">
        <f t="shared" si="15"/>
        <v>676</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1609</v>
      </c>
      <c r="AZ18" s="187">
        <f>SUBTOTAL(9,AZ14:AZ17)</f>
        <v>14350</v>
      </c>
      <c r="BA18" s="187">
        <f>SUBTOTAL(9,BA14:BA17)</f>
        <v>14402</v>
      </c>
      <c r="BB18" s="187">
        <f>SUBTOTAL(9,BB14:BB17)</f>
        <v>1640</v>
      </c>
      <c r="BC18" s="187">
        <f>SUBTOTAL(9,BC14:BC17)</f>
        <v>1681</v>
      </c>
      <c r="BD18" s="208">
        <f>IF(ISNUMBER(BA18/AZ18),BA18/AZ18," - ")</f>
        <v>1.0036236933797908</v>
      </c>
      <c r="BE18" s="209">
        <f>IF(ISNUMBER(BB18/BA18),BB18/BA18, " - ")</f>
        <v>0.11387307318427996</v>
      </c>
      <c r="BF18" s="209">
        <f>IF(ISNUMBER(BC18/BA18),BC18/BA18, " - ")</f>
        <v>0.11671990001388696</v>
      </c>
      <c r="BG18" s="210">
        <f>IF(ISNUMBER((AY18+AZ18)/BA18),(AY18+AZ18)/BA18," - ")</f>
        <v>1.1081099847243439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6735</v>
      </c>
      <c r="J19" s="134">
        <f t="shared" si="18"/>
        <v>25902</v>
      </c>
      <c r="K19" s="134">
        <f t="shared" si="18"/>
        <v>24638</v>
      </c>
      <c r="L19" s="134">
        <f t="shared" si="18"/>
        <v>8094</v>
      </c>
      <c r="M19" s="134">
        <f t="shared" si="18"/>
        <v>3585</v>
      </c>
      <c r="N19" s="134">
        <f t="shared" si="18"/>
        <v>16609</v>
      </c>
      <c r="O19" s="134">
        <f t="shared" si="18"/>
        <v>3229</v>
      </c>
      <c r="P19" s="134">
        <f t="shared" si="18"/>
        <v>1865</v>
      </c>
      <c r="Q19" s="134">
        <f t="shared" si="18"/>
        <v>2077</v>
      </c>
      <c r="R19" s="134">
        <f t="shared" si="18"/>
        <v>7816</v>
      </c>
      <c r="S19" s="134">
        <f t="shared" si="18"/>
        <v>5861</v>
      </c>
      <c r="T19" s="134">
        <f t="shared" si="18"/>
        <v>24138</v>
      </c>
      <c r="U19" s="134">
        <f t="shared" si="18"/>
        <v>23352</v>
      </c>
      <c r="V19" s="134">
        <f t="shared" si="18"/>
        <v>6735</v>
      </c>
      <c r="W19" s="134">
        <f t="shared" si="18"/>
        <v>3344</v>
      </c>
      <c r="X19" s="134">
        <f t="shared" si="18"/>
        <v>15360</v>
      </c>
      <c r="Y19" s="134">
        <f t="shared" si="18"/>
        <v>179</v>
      </c>
      <c r="Z19" s="134">
        <f t="shared" si="18"/>
        <v>516</v>
      </c>
      <c r="AA19" s="134">
        <f t="shared" si="18"/>
        <v>484</v>
      </c>
      <c r="AB19" s="134">
        <f t="shared" si="18"/>
        <v>213</v>
      </c>
      <c r="AC19" s="134">
        <f t="shared" si="18"/>
        <v>0</v>
      </c>
      <c r="AD19" s="134">
        <f t="shared" si="18"/>
        <v>434</v>
      </c>
      <c r="AE19" s="134">
        <f t="shared" si="18"/>
        <v>434</v>
      </c>
      <c r="AF19" s="134">
        <f t="shared" si="18"/>
        <v>0</v>
      </c>
      <c r="AG19" s="134">
        <f t="shared" si="18"/>
        <v>134</v>
      </c>
      <c r="AH19" s="134">
        <f t="shared" si="18"/>
        <v>608</v>
      </c>
      <c r="AI19" s="134">
        <f t="shared" si="18"/>
        <v>558</v>
      </c>
      <c r="AJ19" s="134">
        <f t="shared" si="18"/>
        <v>179</v>
      </c>
      <c r="AK19" s="134">
        <f t="shared" si="18"/>
        <v>0</v>
      </c>
      <c r="AL19" s="134">
        <f t="shared" si="18"/>
        <v>676</v>
      </c>
      <c r="AM19" s="134">
        <f t="shared" si="18"/>
        <v>676</v>
      </c>
      <c r="AN19" s="213">
        <f t="shared" si="18"/>
        <v>0</v>
      </c>
      <c r="AO19" s="214">
        <v>10</v>
      </c>
      <c r="AP19" s="214">
        <v>9</v>
      </c>
      <c r="AQ19" s="214">
        <v>9</v>
      </c>
      <c r="AR19" s="214">
        <v>9</v>
      </c>
      <c r="AS19" s="156">
        <f t="shared" si="18"/>
        <v>0</v>
      </c>
      <c r="AT19" s="156">
        <f t="shared" si="18"/>
        <v>0</v>
      </c>
      <c r="AU19" s="214"/>
      <c r="AV19" s="215"/>
      <c r="AW19" s="214"/>
      <c r="AX19" s="215"/>
      <c r="AY19" s="133">
        <f>SUBTOTAL(9,AY9:AY18)</f>
        <v>5995</v>
      </c>
      <c r="AZ19" s="134">
        <f>SUBTOTAL(9,AZ9:AZ18)</f>
        <v>24746</v>
      </c>
      <c r="BA19" s="134">
        <f>SUBTOTAL(9,BA9:BA18)</f>
        <v>23910</v>
      </c>
      <c r="BB19" s="134">
        <f>SUBTOTAL(9,BB9:BB18)</f>
        <v>6914</v>
      </c>
      <c r="BC19" s="135">
        <f>SUBTOTAL(9,BC9:BC18)</f>
        <v>7144</v>
      </c>
      <c r="BD19" s="216">
        <f>IF(ISNUMBER(BA19/AZ19),BA19/AZ19," - ")</f>
        <v>0.96621676230501896</v>
      </c>
      <c r="BE19" s="213">
        <f>IF(ISNUMBER(BB19/BA19),BB19/BA19, " - ")</f>
        <v>0.28916771225428689</v>
      </c>
      <c r="BF19" s="213">
        <f>IF(ISNUMBER(BC19/BA19),BC19/BA19, " - ")</f>
        <v>0.29878711836051863</v>
      </c>
      <c r="BG19" s="135">
        <f>IF(ISNUMBER((AY19+AZ19)/BA19),(AY19+AZ19)/BA19," - ")</f>
        <v>1.2856963613550816</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SlP5wJvfxhrnhbEKfV4ZNWl1+/kjXCMAyccmR8AzhLhqKLVj8vlEBdvnXwGt+sv/Hodfhkf6lr73oNX6gGxHg==" saltValue="V+RDTfV27uS8JOMTMzCf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1HfbsqA7mtf+/3o6k6l4zWwRDbcDzsdq8qYvpcilRfy9rAOx8Ytc84qDqSSS4hR9xIG/vngnslEwTguc/IUQ==" saltValue="Sz6F0QY+3QeQ86FckalY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ARRECIFE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511</v>
      </c>
      <c r="O9" s="337"/>
      <c r="P9" s="337"/>
      <c r="Q9" s="229">
        <f>IF(ISNUMBER(Datos!P9),Datos!P9,0)</f>
        <v>1490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1602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213</v>
      </c>
      <c r="AI9" s="337" t="str">
        <f>IF(ISNUMBER(Datos!CD9),Datos!CD9,"-")</f>
        <v>-</v>
      </c>
      <c r="AJ9" s="337" t="str">
        <f>IF(ISNUMBER(Datos!EN9),Datos!EN9," - ")</f>
        <v xml:space="preserve"> - </v>
      </c>
      <c r="AK9" s="337"/>
      <c r="AL9" s="482"/>
      <c r="AM9" s="338">
        <f>IF(ISNUMBER(Datos!R9),Datos!R9," - ")</f>
        <v>6792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1787</v>
      </c>
      <c r="BD9" s="232">
        <f>IF(ISNUMBER(Datos!N9),Datos!N9," - ")</f>
        <v>6415</v>
      </c>
      <c r="BE9" s="232" t="str">
        <f>IF(ISNUMBER(Datos!BW9),Datos!BW9," - ")</f>
        <v xml:space="preserve"> - </v>
      </c>
      <c r="BF9" s="231" t="str">
        <f>IF(ISNUMBER(Datos!BX9),Datos!BX9," - ")</f>
        <v xml:space="preserve"> - </v>
      </c>
      <c r="BG9" s="246">
        <f>IF(ISNUMBER(IF(J_V="SI",Datos!K9/Datos!J9,(Datos!K9+Datos!AA9)/(Datos!J9+Datos!Z9))),IF(J_V="SI",Datos!K9/Datos!J9,(Datos!K9+Datos!AA9)/(Datos!J9+Datos!Z9))," - ")</f>
        <v>0.90793650793650793</v>
      </c>
      <c r="BH9" s="263">
        <f>IF(ISNUMBER(((IF(J_V="SI",Datos!L9/Datos!K9,(Datos!L9+Datos!AB9)/(Datos!K9+Datos!AA9)))*11)/factor_trimestre),((IF(J_V="SI",Datos!L9/Datos!K9,(Datos!L9+Datos!AB9)/(Datos!K9+Datos!AA9)))*11)/factor_trimestre," - ")</f>
        <v>6.5686070686070686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-1.6222479721900347E-2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104</v>
      </c>
      <c r="AC10" s="229">
        <f>IF(ISNUMBER(Datos!Q10),Datos!Q10," - ")</f>
        <v>6</v>
      </c>
      <c r="AD10" s="337"/>
      <c r="AE10" s="487"/>
      <c r="AF10" s="335">
        <f>IF(ISNUMBER(Datos!L10),Datos!L10,"-")</f>
        <v>5</v>
      </c>
      <c r="AG10" s="337"/>
      <c r="AH10" s="337"/>
      <c r="AI10" s="337"/>
      <c r="AJ10" s="337"/>
      <c r="AK10" s="337"/>
      <c r="AL10" s="482"/>
      <c r="AM10" s="338">
        <f>IF(ISNUMBER(Datos!R10),Datos!R10," - ")</f>
        <v>30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40</v>
      </c>
      <c r="BD10" s="232">
        <f>IF(ISNUMBER(Datos!N10),Datos!N10," - ")</f>
        <v>57</v>
      </c>
      <c r="BE10" s="232" t="str">
        <f>IF(ISNUMBER(Datos!BW10),Datos!BW10," - ")</f>
        <v xml:space="preserve"> - </v>
      </c>
      <c r="BF10" s="231" t="str">
        <f>IF(ISNUMBER(Datos!BX10),Datos!BX10," - ")</f>
        <v xml:space="preserve"> - </v>
      </c>
      <c r="BG10" s="246">
        <f>IF(ISNUMBER(Datos!K10/Datos!J10),Datos!K10/Datos!J10," - ")</f>
        <v>1.0612244897959184</v>
      </c>
      <c r="BH10" s="263">
        <f>IF(ISNUMBER(((Datos!L10/Datos!K10)*11)/factor_trimestre),((Datos!L10/Datos!K10)*11)/factor_trimestre," - ")</f>
        <v>0.52884615384615385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0.57894736842105265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590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v>
      </c>
      <c r="BH12" s="263">
        <f>IF(ISNUMBER(((IF(J_V="SI",Datos!L12/Datos!K12,(Datos!L12+Datos!AB12)/(Datos!K12+Datos!AA12)))*11)/factor_trimestre),((IF(J_V="SI",Datos!L12/Datos!K12,(Datos!L12+Datos!AB12)/(Datos!K12+Datos!AA12)))*11)/factor_trimestre," - ")</f>
        <v>0</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-0.11278195488721804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516</v>
      </c>
      <c r="O13" s="903">
        <f t="shared" si="0"/>
        <v>0</v>
      </c>
      <c r="P13" s="903">
        <f t="shared" si="0"/>
        <v>0</v>
      </c>
      <c r="Q13" s="902">
        <f t="shared" si="0"/>
        <v>1516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104</v>
      </c>
      <c r="AC13" s="902">
        <f t="shared" si="1"/>
        <v>1692</v>
      </c>
      <c r="AD13" s="902">
        <f t="shared" si="1"/>
        <v>0</v>
      </c>
      <c r="AE13" s="902">
        <f t="shared" si="1"/>
        <v>0</v>
      </c>
      <c r="AF13" s="902">
        <f t="shared" si="1"/>
        <v>5</v>
      </c>
      <c r="AG13" s="902">
        <f t="shared" si="1"/>
        <v>0</v>
      </c>
      <c r="AH13" s="902">
        <f t="shared" si="1"/>
        <v>213</v>
      </c>
      <c r="AI13" s="902">
        <f t="shared" si="1"/>
        <v>0</v>
      </c>
      <c r="AJ13" s="902">
        <f t="shared" si="1"/>
        <v>0</v>
      </c>
      <c r="AK13" s="902">
        <f t="shared" si="1"/>
        <v>0</v>
      </c>
      <c r="AL13" s="902">
        <f t="shared" si="1"/>
        <v>0</v>
      </c>
      <c r="AM13" s="902">
        <f t="shared" si="1"/>
        <v>7412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1827</v>
      </c>
      <c r="BD13" s="902">
        <f t="shared" si="1"/>
        <v>6478</v>
      </c>
      <c r="BE13" s="902">
        <f t="shared" si="1"/>
        <v>0</v>
      </c>
      <c r="BF13" s="902">
        <f t="shared" si="1"/>
        <v>0</v>
      </c>
      <c r="BG13" s="902">
        <f>IF(ISNUMBER(Datos!K13/Datos!J13),Datos!K13/Datos!J13," - ")</f>
        <v>0.90802348336594907</v>
      </c>
      <c r="BH13" s="906">
        <f>IF(ISNUMBER(((Datos!L13/Datos!K13)*11)/factor_trimestre),((Datos!L13/Datos!K13)*11)/factor_trimestre," - ")</f>
        <v>6.5851293103448274</v>
      </c>
      <c r="BI13" s="902">
        <f>IF(ISNUMBER('Resol  Asuntos'!D13/NºAsuntos!G13),'Resol  Asuntos'!D13/NºAsuntos!G13," - ")</f>
        <v>0.17087542087542087</v>
      </c>
      <c r="BJ13" s="902" t="str">
        <f>IF(ISNUMBER(Datos!CI13/Datos!CJ13),Datos!CI13/Datos!CJ13," - ")</f>
        <v xml:space="preserve"> - </v>
      </c>
      <c r="BK13" s="902">
        <f>SUBTOTAL(9,BK8:BK12)</f>
        <v>0</v>
      </c>
      <c r="BL13" s="902">
        <f>IF(ISNUMBER((I13-AB13+L13)/(F13)),(I13-AB13+L13)/(F13)," - ")</f>
        <v>-9.454545454545455</v>
      </c>
      <c r="BM13" s="907">
        <f>SUBTOTAL(9,BM9:BM12)</f>
        <v>0.44994293381193423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1637</v>
      </c>
      <c r="G15" s="601">
        <f>IF(ISNUMBER(IF(D_I="SI",Datos!I15,Datos!I15+Datos!AC15)),IF(D_I="SI",Datos!I15,Datos!I15+Datos!AC15)," - ")</f>
        <v>1531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330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13780</v>
      </c>
      <c r="AC15" s="229">
        <f>IF(ISNUMBER(Datos!Q15),Datos!Q15," - ")</f>
        <v>355</v>
      </c>
      <c r="AD15" s="337"/>
      <c r="AE15" s="487"/>
      <c r="AF15" s="599">
        <f>IF(ISNUMBER(IF(D_I="SI",Datos!L15,Datos!L15+Datos!AF15)),IF(D_I="SI",Datos!L15,Datos!L15+Datos!AF15)," - ")</f>
        <v>1890</v>
      </c>
      <c r="AG15" s="337"/>
      <c r="AH15" s="337"/>
      <c r="AI15" s="337"/>
      <c r="AJ15" s="337"/>
      <c r="AK15" s="337"/>
      <c r="AL15" s="482"/>
      <c r="AM15" s="338">
        <f>IF(ISNUMBER(Datos!R15),Datos!R15," - ")</f>
        <v>378</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1570</v>
      </c>
      <c r="BD15" s="232">
        <f>IF(ISNUMBER(Datos!N15),Datos!N15," - ")</f>
        <v>9799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0.98197106819639424</v>
      </c>
      <c r="BH15" s="263">
        <f>IF(ISNUMBER(((IF(D_I="SI",Datos!L15/Datos!K15,(Datos!L15+Datos!AF15)/(Datos!K15+Datos!AE15)))*11)/factor_trimestre),((IF(D_I="SI",Datos!L15/Datos!K15,(Datos!L15+Datos!AF15)/(Datos!K15+Datos!AE15)))*11)/factor_trimestre," - ")</f>
        <v>1.508708272859216</v>
      </c>
      <c r="BI15" s="246">
        <f>IF(ISNUMBER('Resol  Asuntos'!D15/NºAsuntos!G15),'Resol  Asuntos'!D15/NºAsuntos!G15," - ")</f>
        <v>0.11393323657474601</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0</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0</v>
      </c>
      <c r="AG16" s="337"/>
      <c r="AH16" s="337"/>
      <c r="AI16" s="337"/>
      <c r="AJ16" s="337"/>
      <c r="AK16" s="337"/>
      <c r="AL16" s="482"/>
      <c r="AM16" s="338">
        <f>IF(ISNUMBER(Datos!R16),Datos!R16," - ")</f>
        <v>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650</v>
      </c>
      <c r="AC17" s="229">
        <f>IF(ISNUMBER(Datos!Q17),Datos!Q17," - ")</f>
        <v>30</v>
      </c>
      <c r="AD17" s="337"/>
      <c r="AE17" s="487"/>
      <c r="AF17" s="335">
        <f>IF(ISNUMBER(Datos!L17),Datos!L17,"-")</f>
        <v>93</v>
      </c>
      <c r="AG17" s="337"/>
      <c r="AH17" s="337"/>
      <c r="AI17" s="337"/>
      <c r="AJ17" s="337"/>
      <c r="AK17" s="337"/>
      <c r="AL17" s="482"/>
      <c r="AM17" s="338">
        <f>IF(ISNUMBER(Datos!R17),Datos!R17," - ")</f>
        <v>25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188</v>
      </c>
      <c r="BD17" s="232">
        <f>IF(ISNUMBER(Datos!N17),Datos!N17," - ")</f>
        <v>332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1.036682615629984</v>
      </c>
      <c r="BH17" s="263">
        <f>IF(ISNUMBER(((IF(D_I="SI",Datos!L17/Datos!K17,(Datos!L17+Datos!AF17)/(Datos!K17+Datos!AE17)))*11)/factor_trimestre),((IF(D_I="SI",Datos!L17/Datos!K17,(Datos!L17+Datos!AF17)/(Datos!K17+Datos!AE17)))*11)/factor_trimestre," - ")</f>
        <v>1.5738461538461539</v>
      </c>
      <c r="BI17" s="246">
        <f>IF(ISNUMBER('Resol  Asuntos'!D17/NºAsuntos!G17),'Resol  Asuntos'!D17/NºAsuntos!G17," - ")</f>
        <v>0.28923076923076924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1637</v>
      </c>
      <c r="G18" s="901">
        <f>SUBTOTAL(9,G15:G17)</f>
        <v>1640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14430</v>
      </c>
      <c r="AC18" s="902">
        <f t="shared" si="4"/>
        <v>385</v>
      </c>
      <c r="AD18" s="902">
        <f t="shared" si="4"/>
        <v>0</v>
      </c>
      <c r="AE18" s="902">
        <f t="shared" si="4"/>
        <v>0</v>
      </c>
      <c r="AF18" s="902">
        <f t="shared" si="4"/>
        <v>1983</v>
      </c>
      <c r="AG18" s="902">
        <f t="shared" si="4"/>
        <v>0</v>
      </c>
      <c r="AH18" s="902">
        <f t="shared" si="4"/>
        <v>0</v>
      </c>
      <c r="AI18" s="902">
        <f t="shared" si="4"/>
        <v>0</v>
      </c>
      <c r="AJ18" s="902">
        <f t="shared" si="4"/>
        <v>0</v>
      </c>
      <c r="AK18" s="902">
        <f t="shared" si="4"/>
        <v>0</v>
      </c>
      <c r="AL18" s="902">
        <f t="shared" si="4"/>
        <v>0</v>
      </c>
      <c r="AM18" s="902">
        <f t="shared" si="4"/>
        <v>404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1758</v>
      </c>
      <c r="BD18" s="902">
        <f t="shared" si="4"/>
        <v>10131</v>
      </c>
      <c r="BE18" s="902">
        <f t="shared" si="4"/>
        <v>0</v>
      </c>
      <c r="BF18" s="902">
        <f t="shared" si="4"/>
        <v>0</v>
      </c>
      <c r="BG18" s="902">
        <f>IF(ISNUMBER(Datos!K18/Datos!J18),Datos!K18/Datos!J18," - ")</f>
        <v>0.98431105047748979</v>
      </c>
      <c r="BH18" s="906">
        <f>IF(ISNUMBER(((Datos!L18/Datos!K18)*11)/factor_trimestre),((Datos!L18/Datos!K18)*11)/factor_trimestre," - ")</f>
        <v>1.5116424116424116</v>
      </c>
      <c r="BI18" s="902">
        <f>SUBTOTAL(9,BI15:BI17)</f>
        <v>0.40316400580551526</v>
      </c>
      <c r="BJ18" s="902">
        <f>SUBTOTAL(9,BJ15:BJ17)</f>
        <v>0</v>
      </c>
      <c r="BK18" s="902">
        <f>SUBTOTAL(9,BK15:BK17)</f>
        <v>0</v>
      </c>
      <c r="BL18" s="902">
        <f>IF(ISNUMBER((I18-AB18+L18)/(F18)),(I18-AB18+L18)/(F18)," - ")</f>
        <v>-8.8149053145998781</v>
      </c>
      <c r="BM18" s="908">
        <f>IF(ISNUMBER((Datos!P18-Datos!Q18)/(Datos!R18-Datos!P18+Datos!Q18)),(Datos!P18-Datos!Q18)/(Datos!R18-Datos!P18+Datos!Q18)," - ")</f>
        <v>-8.1818181818181818E-2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9</v>
      </c>
      <c r="F19" s="823">
        <f t="shared" si="6"/>
        <v>1648</v>
      </c>
      <c r="G19" s="823">
        <f t="shared" si="6"/>
        <v>1651</v>
      </c>
      <c r="H19" s="825">
        <f t="shared" si="6"/>
        <v>0</v>
      </c>
      <c r="I19" s="823">
        <f t="shared" si="6"/>
        <v>0</v>
      </c>
      <c r="J19" s="825">
        <f t="shared" si="6"/>
        <v>0</v>
      </c>
      <c r="K19" s="825">
        <f t="shared" si="6"/>
        <v>0</v>
      </c>
      <c r="L19" s="884">
        <f t="shared" si="6"/>
        <v>0</v>
      </c>
      <c r="M19" s="884">
        <f t="shared" si="6"/>
        <v>0</v>
      </c>
      <c r="N19" s="884">
        <f t="shared" si="6"/>
        <v>516</v>
      </c>
      <c r="O19" s="884">
        <f t="shared" si="6"/>
        <v>0</v>
      </c>
      <c r="P19" s="884">
        <f t="shared" si="6"/>
        <v>0</v>
      </c>
      <c r="Q19" s="825">
        <f t="shared" si="6"/>
        <v>1865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14534</v>
      </c>
      <c r="AC19" s="824">
        <f t="shared" si="7"/>
        <v>2077</v>
      </c>
      <c r="AD19" s="824">
        <f t="shared" si="7"/>
        <v>0</v>
      </c>
      <c r="AE19" s="824">
        <f t="shared" si="7"/>
        <v>0</v>
      </c>
      <c r="AF19" s="831">
        <f t="shared" si="7"/>
        <v>1988</v>
      </c>
      <c r="AG19" s="831">
        <f t="shared" si="7"/>
        <v>0</v>
      </c>
      <c r="AH19" s="831">
        <f t="shared" si="7"/>
        <v>213</v>
      </c>
      <c r="AI19" s="831">
        <f t="shared" si="7"/>
        <v>0</v>
      </c>
      <c r="AJ19" s="824">
        <f t="shared" si="7"/>
        <v>0</v>
      </c>
      <c r="AK19" s="831">
        <f t="shared" si="7"/>
        <v>0</v>
      </c>
      <c r="AL19" s="831">
        <f t="shared" si="7"/>
        <v>0</v>
      </c>
      <c r="AM19" s="831">
        <f t="shared" si="7"/>
        <v>7816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3585</v>
      </c>
      <c r="BD19" s="823">
        <f t="shared" si="7"/>
        <v>16609</v>
      </c>
      <c r="BE19" s="823">
        <f t="shared" si="7"/>
        <v>0</v>
      </c>
      <c r="BF19" s="833">
        <f t="shared" si="7"/>
        <v>0</v>
      </c>
      <c r="BG19" s="918">
        <f>IF(ISNUMBER(Datos!K19/Datos!J19),Datos!K19/Datos!J19," - ")</f>
        <v>0.95120067948420972</v>
      </c>
      <c r="BH19" s="918">
        <f>IF(ISNUMBER(((Datos!L19/Datos!K19)*11)/factor_trimestre),((Datos!L19/Datos!K19)*11)/factor_trimestre," - ")</f>
        <v>3.61368617582596</v>
      </c>
      <c r="BI19" s="816">
        <f>IF(ISNUMBER(Datos!J19/Datos!I19),Datos!J19/Datos!I19," - ")</f>
        <v>3.8458797327394207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-8.8191747572815533</v>
      </c>
      <c r="BM19" s="892">
        <f>IF(ISNUMBER((Datos!P19-Datos!Q19+R19)/(Datos!R19-Datos!P19+Datos!Q19-R19)),(Datos!P19-Datos!Q19+R19)/(Datos!R19-Datos!P19+Datos!Q19-R19)," - ")</f>
        <v>-2.6407573492775286E-2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550.33333333333337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2.3979157616563596</v>
      </c>
      <c r="F21" s="554">
        <f>IF(ISNUMBER(STDEV(F8:F18)),STDEV(F8:F18),"-")</f>
        <v>892.61649099711349</v>
      </c>
      <c r="G21" s="555">
        <f>IF(ISNUMBER(STDEV(G8:G18)),STDEV(G8:G18),"-")</f>
        <v>803.52564779642637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7179.5913718446864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902.1873023776318</v>
      </c>
      <c r="BD21" s="554"/>
      <c r="BE21" s="554">
        <f>IF(ISNUMBER(STDEV(BE8:BE18)),STDEV(BE8:BE18),"-")</f>
        <v>0</v>
      </c>
      <c r="BF21" s="559">
        <f>IF(ISNUMBER(STDEV(BF8:BF18)),STDEV(BF8:BF18),"-")</f>
        <v>0</v>
      </c>
      <c r="BG21" s="778">
        <f>IF(ISNUMBER(STDEV(BG8:BG18)),STDEV(BG8:BG18),"-")</f>
        <v>0.10139272213328544</v>
      </c>
      <c r="BH21" s="779">
        <f>IF(ISNUMBER(STDEV(BH8:BH18)),STDEV(BH8:BH18),"-")</f>
        <v>2.7721341170153844</v>
      </c>
      <c r="BI21" s="252">
        <f>IF(ISNUMBER(STDEV(BI8:BI18)),STDEV(BI8:BI18),"-")</f>
        <v>0.12863800395800051</v>
      </c>
      <c r="BJ21" s="233" t="str">
        <f>IF(ISNUMBER(BL21/BM21),BL21/BM21," - ")</f>
        <v xml:space="preserve"> - </v>
      </c>
      <c r="BK21" s="578"/>
      <c r="BL21" s="562">
        <f>IF(ISNUMBER(STDEV(BL8:BL18)),STDEV(BL8:BL18),"-")</f>
        <v>0.45229388047462965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M4qkPDdOwmFLOj4miBhSl7LmUzOX5QmcklItT6vN1w3X26qb2g2bN/U6OSeUeHNx1prMXqOH14Eq/uOsjHucKQ==" saltValue="PFxCyxSfrCOzsmzngM1V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ARRECIFE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1490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1602</v>
      </c>
      <c r="AA9" s="335" t="str">
        <f>IF(ISNUMBER(IF(J_V="SI",Datos!L9,Datos!L9+Datos!AB9)-IF(Monitorios="SI",Datos!CD9,0)),
                          IF(J_V="SI",Datos!L9,Datos!L9+Datos!AB9)-IF(Monitorios="SI",Datos!CD9,0),
                          " - ")</f>
        <v xml:space="preserve"> - </v>
      </c>
      <c r="AB9" s="337"/>
      <c r="AC9" s="337"/>
      <c r="AD9" s="487"/>
      <c r="AE9" s="487">
        <f>IF(ISNUMBER(Datos!R9),Datos!R9," - ")</f>
        <v>6792</v>
      </c>
      <c r="AF9" s="232" t="str">
        <f>IF(ISNUMBER(Datos!BV9),Datos!BV9," - ")</f>
        <v xml:space="preserve"> - </v>
      </c>
      <c r="AG9" s="228" t="str">
        <f>IF(ISNUMBER(Datos!DV9),Datos!DV9," - ")</f>
        <v xml:space="preserve"> - </v>
      </c>
      <c r="AH9" s="301"/>
      <c r="AI9" s="230"/>
      <c r="AJ9" s="228">
        <f>IF(ISNUMBER(Datos!M9),Datos!M9," - ")</f>
        <v>1787</v>
      </c>
      <c r="AK9" s="232">
        <f>IF(ISNUMBER(Datos!N9),Datos!N9," - ")</f>
        <v>6415</v>
      </c>
      <c r="AL9" s="232" t="str">
        <f>IF(ISNUMBER(Datos!BW9),Datos!BW9," - ")</f>
        <v xml:space="preserve"> - </v>
      </c>
      <c r="AM9" s="231" t="str">
        <f>IF(ISNUMBER(Datos!BX9),Datos!BX9," - ")</f>
        <v xml:space="preserve"> - </v>
      </c>
      <c r="AN9" s="246"/>
      <c r="AO9" s="263">
        <f>IF(ISNUMBER(((NºAsuntos!I9/NºAsuntos!G9)*11)/factor_trimestre),((NºAsuntos!I9/NºAsuntos!G9)*11)/factor_trimestre," - ")</f>
        <v>6.5686070686070686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-1.6222479721900347E-2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104</v>
      </c>
      <c r="Z10" s="622">
        <f>IF(ISNUMBER(Datos!Q10),Datos!Q10," - ")</f>
        <v>6</v>
      </c>
      <c r="AA10" s="335">
        <f>IF(ISNUMBER(Datos!L10),Datos!L10,"-")</f>
        <v>5</v>
      </c>
      <c r="AB10" s="337"/>
      <c r="AC10" s="337"/>
      <c r="AD10" s="487"/>
      <c r="AE10" s="487">
        <f>IF(ISNUMBER(Datos!R10),Datos!R10," - ")</f>
        <v>30</v>
      </c>
      <c r="AF10" s="232" t="str">
        <f>IF(ISNUMBER(Datos!BV10),Datos!BV10," - ")</f>
        <v xml:space="preserve"> - </v>
      </c>
      <c r="AG10" s="228" t="str">
        <f>IF(ISNUMBER(Datos!DV10),Datos!DV10," - ")</f>
        <v xml:space="preserve"> - </v>
      </c>
      <c r="AH10" s="301"/>
      <c r="AI10" s="230"/>
      <c r="AJ10" s="228">
        <f>IF(ISNUMBER(Datos!M10),Datos!M10," - ")</f>
        <v>40</v>
      </c>
      <c r="AK10" s="232">
        <f>IF(ISNUMBER(Datos!N10),Datos!N10," - ")</f>
        <v>57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0.52884615384615385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0.57894736842105265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v>
      </c>
      <c r="AA12" s="335" t="str">
        <f>IF(ISNUMBER(IF(J_V="SI",Datos!L12,Datos!L12+Datos!AB12)-IF(Monitorios="SI",Datos!CD12,0)),
                          IF(J_V="SI",Datos!L12,Datos!L12+Datos!AB12)-IF(Monitorios="SI",Datos!CD12,0),
                          " - ")</f>
        <v xml:space="preserve"> - </v>
      </c>
      <c r="AB12" s="337"/>
      <c r="AC12" s="337"/>
      <c r="AD12" s="487"/>
      <c r="AE12" s="487">
        <f>IF(ISNUMBER(Datos!R12),Datos!R12," - ")</f>
        <v>590</v>
      </c>
      <c r="AF12" s="232" t="str">
        <f>IF(ISNUMBER(Datos!BV12),Datos!BV12," - ")</f>
        <v xml:space="preserve"> - </v>
      </c>
      <c r="AG12" s="228" t="str">
        <f>IF(ISNUMBER(Datos!DV12),Datos!DV12," - ")</f>
        <v xml:space="preserve"> - </v>
      </c>
      <c r="AH12" s="301"/>
      <c r="AI12" s="230"/>
      <c r="AJ12" s="228">
        <f>IF(ISNUMBER(Datos!M12),Datos!M12," - ")</f>
        <v>0</v>
      </c>
      <c r="AK12" s="232">
        <f>IF(ISNUMBER(Datos!N12),Datos!N12," - ")</f>
        <v>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0</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-0.11278195488721804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1516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104</v>
      </c>
      <c r="Z13" s="910">
        <f t="shared" si="2"/>
        <v>1692</v>
      </c>
      <c r="AA13" s="903">
        <f t="shared" si="2"/>
        <v>5</v>
      </c>
      <c r="AB13" s="903">
        <f t="shared" si="2"/>
        <v>0</v>
      </c>
      <c r="AC13" s="903">
        <f t="shared" si="2"/>
        <v>0</v>
      </c>
      <c r="AD13" s="903">
        <f t="shared" si="2"/>
        <v>0</v>
      </c>
      <c r="AE13" s="903">
        <f t="shared" si="2"/>
        <v>7412</v>
      </c>
      <c r="AF13" s="911">
        <f t="shared" si="2"/>
        <v>0</v>
      </c>
      <c r="AG13" s="911">
        <f t="shared" si="2"/>
        <v>0</v>
      </c>
      <c r="AH13" s="911">
        <f t="shared" si="2"/>
        <v>0</v>
      </c>
      <c r="AI13" s="911">
        <f t="shared" si="2"/>
        <v>0</v>
      </c>
      <c r="AJ13" s="911">
        <f t="shared" si="2"/>
        <v>1827</v>
      </c>
      <c r="AK13" s="911">
        <f t="shared" si="2"/>
        <v>6478</v>
      </c>
      <c r="AL13" s="911">
        <f t="shared" si="2"/>
        <v>0</v>
      </c>
      <c r="AM13" s="911">
        <f t="shared" si="2"/>
        <v>0</v>
      </c>
      <c r="AN13" s="911">
        <f t="shared" si="2"/>
        <v>0</v>
      </c>
      <c r="AO13" s="907">
        <f>IF(ISNUMBER(((NºAsuntos!I13/NºAsuntos!G13)*11)/factor_trimestre),((NºAsuntos!I13/NºAsuntos!G13)*11)/factor_trimestre," - ")</f>
        <v>6.5061728395061724</v>
      </c>
      <c r="AP13" s="913" t="str">
        <f>IF(ISNUMBER(Datos!CI13/Datos!CJ13),Datos!CI13/Datos!CJ13," - ")</f>
        <v xml:space="preserve"> - </v>
      </c>
      <c r="AQ13" s="931">
        <f t="shared" ref="AQ13:AV13" si="3">SUBTOTAL(9,AQ9:AQ12)</f>
        <v>0</v>
      </c>
      <c r="AR13" s="931">
        <f t="shared" si="3"/>
        <v>0.44994293381193423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1637</v>
      </c>
      <c r="G15" s="228">
        <f>IF(ISNUMBER(IF(D_I="SI",Datos!I15,Datos!I15+Datos!AC15)),IF(D_I="SI",Datos!I15,Datos!I15+Datos!AC15)," - ")</f>
        <v>1531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330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13780</v>
      </c>
      <c r="Z15" s="622">
        <f>IF(ISNUMBER(Datos!Q15),Datos!Q15," - ")</f>
        <v>355</v>
      </c>
      <c r="AA15" s="335">
        <f>IF(ISNUMBER(IF(D_I="SI",Datos!L15,Datos!L15+Datos!AF15)),IF(D_I="SI",Datos!L15,Datos!L15+Datos!AF15)," - ")</f>
        <v>1890</v>
      </c>
      <c r="AB15" s="337"/>
      <c r="AC15" s="337"/>
      <c r="AD15" s="487"/>
      <c r="AE15" s="487">
        <f>IF(ISNUMBER(Datos!R15),Datos!R15," - ")</f>
        <v>378</v>
      </c>
      <c r="AF15" s="232" t="str">
        <f>IF(ISNUMBER(Datos!BV15),Datos!BV15," - ")</f>
        <v xml:space="preserve"> - </v>
      </c>
      <c r="AG15" s="228"/>
      <c r="AH15" s="301"/>
      <c r="AI15" s="230"/>
      <c r="AJ15" s="228">
        <f>IF(ISNUMBER(Datos!M15),Datos!M15," - ")</f>
        <v>1570</v>
      </c>
      <c r="AK15" s="232">
        <f>IF(ISNUMBER(Datos!N15),Datos!N15," - ")</f>
        <v>9799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1.508708272859216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0</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0</v>
      </c>
      <c r="AB16" s="337"/>
      <c r="AC16" s="337"/>
      <c r="AD16" s="487"/>
      <c r="AE16" s="487">
        <f>IF(ISNUMBER(Datos!R16),Datos!R16," - ")</f>
        <v>1</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650</v>
      </c>
      <c r="Z17" s="622">
        <f>IF(ISNUMBER(Datos!Q17),Datos!Q17," - ")</f>
        <v>30</v>
      </c>
      <c r="AA17" s="335">
        <f>IF(ISNUMBER(Datos!L17),Datos!L17,"-")</f>
        <v>93</v>
      </c>
      <c r="AB17" s="337"/>
      <c r="AC17" s="337"/>
      <c r="AD17" s="487"/>
      <c r="AE17" s="487">
        <f>IF(ISNUMBER(Datos!R17),Datos!R17," - ")</f>
        <v>25</v>
      </c>
      <c r="AF17" s="232" t="str">
        <f>IF(ISNUMBER(Datos!BV17),Datos!BV17," - ")</f>
        <v xml:space="preserve"> - </v>
      </c>
      <c r="AG17" s="228" t="str">
        <f>IF(ISNUMBER(Datos!DV17),Datos!DV17," - ")</f>
        <v xml:space="preserve"> - </v>
      </c>
      <c r="AH17" s="301"/>
      <c r="AI17" s="230"/>
      <c r="AJ17" s="228">
        <f>IF(ISNUMBER(Datos!M17),Datos!M17," - ")</f>
        <v>188</v>
      </c>
      <c r="AK17" s="232">
        <f>IF(ISNUMBER(Datos!N17),Datos!N17," - ")</f>
        <v>332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1.5738461538461539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1637</v>
      </c>
      <c r="G18" s="901">
        <f>SUBTOTAL(9,G15:G17)</f>
        <v>1640</v>
      </c>
      <c r="H18" s="935">
        <f>SUBTOTAL(9,H15:H17)</f>
        <v>0</v>
      </c>
      <c r="I18" s="914">
        <f>SUBTOTAL(9,I15:I17)</f>
        <v>0</v>
      </c>
      <c r="J18" s="870">
        <f>SUBTOTAL(9,J14:J17)</f>
        <v>0</v>
      </c>
      <c r="K18" s="935">
        <f t="shared" ref="K18:S18" si="4">SUBTOTAL(9,K15:K17)</f>
        <v>0</v>
      </c>
      <c r="L18" s="935">
        <f t="shared" si="4"/>
        <v>0</v>
      </c>
      <c r="M18" s="935">
        <f t="shared" si="4"/>
        <v>0</v>
      </c>
      <c r="N18" s="935">
        <f t="shared" si="4"/>
        <v>349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14430</v>
      </c>
      <c r="Z18" s="935">
        <f t="shared" si="5"/>
        <v>385</v>
      </c>
      <c r="AA18" s="935">
        <f t="shared" si="5"/>
        <v>1983</v>
      </c>
      <c r="AB18" s="935">
        <f t="shared" si="5"/>
        <v>0</v>
      </c>
      <c r="AC18" s="935">
        <f t="shared" si="5"/>
        <v>0</v>
      </c>
      <c r="AD18" s="935">
        <f t="shared" si="5"/>
        <v>0</v>
      </c>
      <c r="AE18" s="935">
        <f t="shared" si="5"/>
        <v>404</v>
      </c>
      <c r="AF18" s="935">
        <f t="shared" si="5"/>
        <v>0</v>
      </c>
      <c r="AG18" s="935">
        <f t="shared" si="5"/>
        <v>0</v>
      </c>
      <c r="AH18" s="935">
        <f t="shared" si="5"/>
        <v>0</v>
      </c>
      <c r="AI18" s="935">
        <f t="shared" si="5"/>
        <v>0</v>
      </c>
      <c r="AJ18" s="935">
        <f t="shared" si="5"/>
        <v>1758</v>
      </c>
      <c r="AK18" s="935">
        <f t="shared" si="5"/>
        <v>10131</v>
      </c>
      <c r="AL18" s="935">
        <f t="shared" si="5"/>
        <v>0</v>
      </c>
      <c r="AM18" s="935">
        <f t="shared" si="5"/>
        <v>0</v>
      </c>
      <c r="AN18" s="935">
        <f t="shared" si="5"/>
        <v>0</v>
      </c>
      <c r="AO18" s="937">
        <f>IF(ISNUMBER(((NºAsuntos!I18/NºAsuntos!G18)*11)/factor_trimestre),((NºAsuntos!I18/NºAsuntos!G18)*11)/factor_trimestre," - ")</f>
        <v>1.5116424116424116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1648</v>
      </c>
      <c r="G19" s="823">
        <f t="shared" si="7"/>
        <v>1651</v>
      </c>
      <c r="H19" s="824">
        <f t="shared" si="7"/>
        <v>0</v>
      </c>
      <c r="I19" s="823">
        <f t="shared" si="7"/>
        <v>0</v>
      </c>
      <c r="J19" s="825">
        <f t="shared" si="7"/>
        <v>0</v>
      </c>
      <c r="K19" s="823">
        <f t="shared" si="7"/>
        <v>0</v>
      </c>
      <c r="L19" s="826">
        <f t="shared" si="7"/>
        <v>0</v>
      </c>
      <c r="M19" s="823">
        <f t="shared" si="7"/>
        <v>0</v>
      </c>
      <c r="N19" s="824">
        <f t="shared" si="7"/>
        <v>1865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14534</v>
      </c>
      <c r="Z19" s="830">
        <f t="shared" si="8"/>
        <v>2077</v>
      </c>
      <c r="AA19" s="831">
        <f t="shared" si="8"/>
        <v>1988</v>
      </c>
      <c r="AB19" s="831">
        <f t="shared" si="8"/>
        <v>0</v>
      </c>
      <c r="AC19" s="831">
        <f t="shared" si="8"/>
        <v>0</v>
      </c>
      <c r="AD19" s="832">
        <f t="shared" si="8"/>
        <v>0</v>
      </c>
      <c r="AE19" s="832">
        <f t="shared" si="8"/>
        <v>7816</v>
      </c>
      <c r="AF19" s="833">
        <f t="shared" si="8"/>
        <v>0</v>
      </c>
      <c r="AG19" s="834">
        <f t="shared" si="8"/>
        <v>0</v>
      </c>
      <c r="AH19" s="835">
        <f t="shared" si="8"/>
        <v>0</v>
      </c>
      <c r="AI19" s="833">
        <f t="shared" si="8"/>
        <v>0</v>
      </c>
      <c r="AJ19" s="823">
        <f t="shared" si="8"/>
        <v>3585</v>
      </c>
      <c r="AK19" s="823">
        <f t="shared" si="8"/>
        <v>16609</v>
      </c>
      <c r="AL19" s="823">
        <f t="shared" si="8"/>
        <v>0</v>
      </c>
      <c r="AM19" s="836">
        <f t="shared" si="8"/>
        <v>0</v>
      </c>
      <c r="AN19" s="826">
        <f>IF(ISNUMBER(Datos!K19/Datos!J19),Datos!K19/Datos!J19," - ")</f>
        <v>0.95120067948420972</v>
      </c>
      <c r="AO19" s="826">
        <f>IF(ISNUMBER(FIND("06",Criterios!A8,1)),(IF(ISNUMBER(((Datos!R19/Datos!Q19)*11)/factor_trimestre),((Datos!R19/Datos!Q19)*11)/factor_trimestre," - ")),(IF(ISNUMBER(((Datos!L19/Datos!K19)*11)/factor_trimestre),((Datos!L19/Datos!K19)*11)/factor_trimestre," - ")))</f>
        <v>3.61368617582596</v>
      </c>
      <c r="AP19" s="837" t="str">
        <f>IF(ISNUMBER(Datos!CI19/Datos!CJ19),Datos!CI19/Datos!CJ19," - ")</f>
        <v xml:space="preserve"> - </v>
      </c>
      <c r="AQ19" s="837">
        <f>IF(OR(ISNUMBER(FIND("01",Criterios!A8,1)),ISNUMBER(FIND("02",Criterios!A8,1)),ISNUMBER(FIND("03",Criterios!A8,1)),ISNUMBER(FIND("04",Criterios!A8,1))),(J19-Y19+K19)/(F19-K19),(I19-Y19+K19)/(F19-K19))</f>
        <v>-8.8191747572815533</v>
      </c>
      <c r="AR19" s="837">
        <f>IF(ISNUMBER((Datos!P19-Datos!Q19+O19)/(Datos!R19-Datos!P19+Datos!Q19-O19)),(Datos!P19-Datos!Q19+O19)/(Datos!R19-Datos!P19+Datos!Q19-O19)," - ")</f>
        <v>-2.6407573492775286E-2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550.33333333333337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892.61649099711349</v>
      </c>
      <c r="G21" s="555">
        <f>IF(ISNUMBER(STDEV(G8:G18)),STDEV(G8:G18),"-")</f>
        <v>803.52564779642637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902.1873023776318</v>
      </c>
      <c r="AK21" s="255"/>
      <c r="AL21" s="255">
        <f>IF(ISNUMBER(STDEV(AL8:AL18)),STDEV(AL8:AL18),"-")</f>
        <v>0</v>
      </c>
      <c r="AM21" s="257">
        <f>IF(ISNUMBER(STDEV(AM8:AM18)),STDEV(AM8:AM18),"-")</f>
        <v>0</v>
      </c>
      <c r="AN21" s="542">
        <f>IF(ISNUMBER(STDEV(AN8:AN18)),STDEV(AN8:AN18),"-")</f>
        <v>0</v>
      </c>
      <c r="AO21" s="543">
        <f>IF(ISNUMBER(STDEV(AO8:AO18)),STDEV(AO8:AO18),"-")</f>
        <v>2.7533657428760505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cG7hlddD9zxGaONIgBqm1otJEit1qwjgksoBSY3SPQ5FDVodR7aja/OhuHIy/iGb0tJ0VqpbX38e8Cb2M2hGQ==" saltValue="zrAgJooSDVu+5VPw00dU3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SM2VBa+XQ41gKq9eHxwkLCHuJzHBvH1QlbcIHZELrOry0Cd7VlU7rKyr3IZUDnbD4y5gJNtxaidhMpaQIeZxg==" saltValue="P2LcuHz8ME59PlItwML0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eBSOtawtGOItFRkhbdyYwnBfgc7rK6/lsrfdPmM2hc1LBww6Q8bIBjrCCVJMIr+1i8mns7ho4l+sHOmcqdz9A==" saltValue="a9vZYogoXdAO4gjPtjlV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ARRECIFE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0.17087542087542087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0.12082716883911544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Ksmw5cXK0BB7yPkKPkgr47VP3dw7D0GPgMKIGc6liTzK1Uk/yS8j8TuE5quI9//DBirfLw1v/WcptjDci/mBA==" saltValue="UJ5AxtazYLU9I+c3rIvG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Re8M/QFlF9tO7QW6QtrhSQF5yKykrfXz99WLoOur1V7qCU3hlIV4JULjH2M1hV8bI4pQ8rXk+eowNc2lX7u0OQ==" saltValue="c+I5aRQsMXNVDs7s6Gjv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ARRECIFE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5262</v>
      </c>
      <c r="D9" s="407">
        <f>IF(ISNUMBER(C9/Datos!BH9),C9/Datos!BH9," - ")</f>
        <v>1052.4000000000001</v>
      </c>
      <c r="E9" s="406">
        <f>IF(ISNUMBER(IF(J_V="SI",Datos!J9,Datos!J9+Datos!Z9)),IF(J_V="SI",Datos!J9,Datos!J9+Datos!Z9)," - ")</f>
        <v>11655</v>
      </c>
      <c r="F9" s="407">
        <f>IF(ISNUMBER(E9/B9),E9/B9," - ")</f>
        <v>2331</v>
      </c>
      <c r="G9" s="406">
        <f>IF(ISNUMBER(IF(J_V="SI",Datos!K9,Datos!K9+Datos!AA9)),IF(J_V="SI",Datos!K9,Datos!K9+Datos!AA9)," - ")</f>
        <v>10582</v>
      </c>
      <c r="H9" s="407">
        <f>IF(ISNUMBER(G9/B9),G9/B9," - ")</f>
        <v>2116.4</v>
      </c>
      <c r="I9" s="406">
        <f>IF(ISNUMBER(IF(J_V="SI",Datos!L9,Datos!L9+Datos!AB9)),IF(J_V="SI",Datos!L9,Datos!L9+Datos!AB9)," - ")</f>
        <v>6319</v>
      </c>
      <c r="J9" s="407">
        <f>IF(ISNUMBER(I9/B9),I9/B9," - ")</f>
        <v>1263.8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98</v>
      </c>
      <c r="F10" s="407">
        <f>IF(ISNUMBER(E10/B10),E10/B10," - ")</f>
        <v>98</v>
      </c>
      <c r="G10" s="406">
        <f>IF(ISNUMBER(Datos!K10),Datos!K10," - ")</f>
        <v>104</v>
      </c>
      <c r="H10" s="407">
        <f>IF(ISNUMBER(G10/B10),G10/B10," - ")</f>
        <v>104</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5</v>
      </c>
      <c r="F12" s="407" t="str">
        <f>IF(ISNUMBER(E12/B12),E12/B12," - ")</f>
        <v xml:space="preserve"> - </v>
      </c>
      <c r="G12" s="406">
        <f>IF(ISNUMBER(IF(J_V="SI",Datos!K12,Datos!K12+Datos!AA12)),IF(J_V="SI",Datos!K12,Datos!K12+Datos!AA12)," - ")</f>
        <v>6</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5274</v>
      </c>
      <c r="D13" s="853" t="str">
        <f>IF(ISNUMBER(C13/Datos!BI13),C13/Datos!BI13," - ")</f>
        <v xml:space="preserve"> - </v>
      </c>
      <c r="E13" s="852">
        <f>SUBTOTAL(9,E8:E12)</f>
        <v>11758</v>
      </c>
      <c r="F13" s="853">
        <f>IF(ISNUMBER(E13/B13),E13/B13," - ")</f>
        <v>2351.6</v>
      </c>
      <c r="G13" s="852">
        <f>SUBTOTAL(9,G8:G12)</f>
        <v>10692</v>
      </c>
      <c r="H13" s="853">
        <f>IF(ISNUMBER(G13/B13),G13/B13," - ")</f>
        <v>2138.4</v>
      </c>
      <c r="I13" s="852">
        <f>SUBTOTAL(9,I8:I12)</f>
        <v>6324</v>
      </c>
      <c r="J13" s="853">
        <f>IF(ISNUMBER(I13/B13),I13/B13," - ")</f>
        <v>1264.8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1531</v>
      </c>
      <c r="D15" s="407">
        <f>IF(ISNUMBER(C15/Datos!BH15),C15/Datos!BH15," - ")</f>
        <v>382.75</v>
      </c>
      <c r="E15" s="406">
        <f>IF(ISNUMBER(IF(D_I="SI",Datos!J15,Datos!J15+Datos!AD15)),IF(D_I="SI",Datos!J15,Datos!J15+Datos!AD15)," - ")</f>
        <v>14033</v>
      </c>
      <c r="F15" s="407">
        <f>IF(ISNUMBER(E15/B15),E15/B15," - ")</f>
        <v>3508.25</v>
      </c>
      <c r="G15" s="406">
        <f>IF(ISNUMBER(IF(D_I="SI",Datos!K15,Datos!K15+Datos!AE15)),IF(D_I="SI",Datos!K15,Datos!K15+Datos!AE15)," - ")</f>
        <v>13780</v>
      </c>
      <c r="H15" s="407">
        <f>IF(ISNUMBER(G15/B15),G15/B15," - ")</f>
        <v>3445</v>
      </c>
      <c r="I15" s="406">
        <f>IF(ISNUMBER(IF(D_I="SI",Datos!L15,Datos!L15+Datos!AF15)),IF(D_I="SI",Datos!L15,Datos!L15+Datos!AF15)," - ")</f>
        <v>1890</v>
      </c>
      <c r="J15" s="407">
        <f>IF(ISNUMBER(I15/B15),I15/B15," - ")</f>
        <v>472.5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108</v>
      </c>
      <c r="D17" s="407">
        <f>IF(ISNUMBER(C17/Datos!BH17),C17/Datos!BH17," - ")</f>
        <v>108</v>
      </c>
      <c r="E17" s="406">
        <f>IF(ISNUMBER(IF(D_I="SI",Datos!J17,Datos!J17+Datos!AD17)),IF(D_I="SI",Datos!J17,Datos!J17+Datos!AD17)," - ")</f>
        <v>627</v>
      </c>
      <c r="F17" s="407">
        <f>IF(ISNUMBER(E17/B17),E17/B17," - ")</f>
        <v>627</v>
      </c>
      <c r="G17" s="406">
        <f>IF(ISNUMBER(IF(D_I="SI",Datos!K17,Datos!K17+Datos!AE17)),IF(D_I="SI",Datos!K17,Datos!K17+Datos!AE17)," - ")</f>
        <v>650</v>
      </c>
      <c r="H17" s="407">
        <f>IF(ISNUMBER(G17/B17),G17/B17," - ")</f>
        <v>650</v>
      </c>
      <c r="I17" s="406">
        <f>IF(ISNUMBER(IF(D_I="SI",Datos!L17,Datos!L17+Datos!AF17)),IF(D_I="SI",Datos!L17,Datos!L17+Datos!AF17)," - ")</f>
        <v>93</v>
      </c>
      <c r="J17" s="407">
        <f>IF(ISNUMBER(I17/B17),I17/B17," - ")</f>
        <v>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1640</v>
      </c>
      <c r="D18" s="853" t="str">
        <f>IF(ISNUMBER(C18/Datos!BI18),C18/Datos!BI18," - ")</f>
        <v xml:space="preserve"> - </v>
      </c>
      <c r="E18" s="852">
        <f>SUBTOTAL(9,E14:E17)</f>
        <v>14660</v>
      </c>
      <c r="F18" s="853">
        <f>IF(ISNUMBER(E18/B18),E18/B18," - ")</f>
        <v>3665</v>
      </c>
      <c r="G18" s="852">
        <f>SUBTOTAL(9,G14:G17)</f>
        <v>14430</v>
      </c>
      <c r="H18" s="853">
        <f>IF(ISNUMBER(G18/B18),G18/B18," - ")</f>
        <v>3607.5</v>
      </c>
      <c r="I18" s="852">
        <f>SUBTOTAL(9,I14:I17)</f>
        <v>1983</v>
      </c>
      <c r="J18" s="853">
        <f>IF(ISNUMBER(I18/B18),I18/B18," - ")</f>
        <v>495.75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6914</v>
      </c>
      <c r="D19" s="798" t="str">
        <f>IF(ISNUMBER(C19/Datos!BI19),C19/Datos!BI19," - ")</f>
        <v xml:space="preserve"> - </v>
      </c>
      <c r="E19" s="797">
        <f>SUBTOTAL(9,E9:E18)</f>
        <v>26418</v>
      </c>
      <c r="F19" s="798">
        <f>IF(ISNUMBER(E19/B19),E19/B19," - ")</f>
        <v>2935.3333333333335</v>
      </c>
      <c r="G19" s="797">
        <f>SUBTOTAL(9,G9:G18)</f>
        <v>25122</v>
      </c>
      <c r="H19" s="798">
        <f>IF(ISNUMBER(G19/B19),G19/B19," - ")</f>
        <v>2791.3333333333335</v>
      </c>
      <c r="I19" s="797">
        <f>SUBTOTAL(9,I9:I18)</f>
        <v>8307</v>
      </c>
      <c r="J19" s="798">
        <f>IF(ISNUMBER(I19/B19),I19/B19," - ")</f>
        <v>923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Qo0LRLv5EBNH4Ur7KqHc4oSCsOaGRn8VWS+Zd2WH21iBWws1LHiDP7XxGggw+Em0rAgB81Nc5RNx/LdZ1TVMg==" saltValue="LFoaynrtJ+fXW+9pAuVm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ARRECIFE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104</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40</v>
      </c>
      <c r="AM10" s="693">
        <f>IF(ISNUMBER(Datos!N10+DatosP!N17),Datos!N10+DatosP!N17," - ")</f>
        <v>57</v>
      </c>
      <c r="AN10" s="693">
        <f>IF(ISNUMBER(Datos!BW10+DatosP!BW17),Datos!BW10+DatosP!BW17," - ")</f>
        <v>0</v>
      </c>
      <c r="AO10" s="694">
        <f>IF(ISNUMBER(Datos!BX10+DatosP!BX17),Datos!BX10+DatosP!BX17," - ")</f>
        <v>0</v>
      </c>
      <c r="AP10" s="696">
        <f>IF(ISNUMBER(((Datos!L10/Datos!K10)*11)/factor_trimestre),((Datos!L10/Datos!K10)*11)/factor_trimestre," - ")</f>
        <v>0.52884615384615385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0</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-0.11278195488721804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26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104</v>
      </c>
      <c r="AC13" s="942">
        <f t="shared" si="1"/>
        <v>0</v>
      </c>
      <c r="AD13" s="942">
        <f t="shared" si="1"/>
        <v>84</v>
      </c>
      <c r="AE13" s="942">
        <f t="shared" si="1"/>
        <v>0</v>
      </c>
      <c r="AF13" s="942">
        <f t="shared" si="1"/>
        <v>5</v>
      </c>
      <c r="AG13" s="942">
        <f t="shared" si="1"/>
        <v>0</v>
      </c>
      <c r="AH13" s="942">
        <f t="shared" si="1"/>
        <v>590</v>
      </c>
      <c r="AI13" s="942">
        <f t="shared" si="1"/>
        <v>0</v>
      </c>
      <c r="AJ13" s="942">
        <f t="shared" si="1"/>
        <v>0</v>
      </c>
      <c r="AK13" s="942">
        <f t="shared" si="1"/>
        <v>0</v>
      </c>
      <c r="AL13" s="942">
        <f t="shared" si="1"/>
        <v>40</v>
      </c>
      <c r="AM13" s="942">
        <f t="shared" si="1"/>
        <v>63</v>
      </c>
      <c r="AN13" s="942">
        <f t="shared" si="1"/>
        <v>0</v>
      </c>
      <c r="AO13" s="942">
        <f t="shared" si="1"/>
        <v>0</v>
      </c>
      <c r="AP13" s="947">
        <f>IF(ISNUMBER(((Datos!L13/Datos!K13)*11)/factor_trimestre),((Datos!L13/Datos!K13)*11)/factor_trimestre," - ")</f>
        <v>6.5851293103448274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-9.454545454545455</v>
      </c>
      <c r="AU13" s="942" t="str">
        <f>IF(ISNUMBER((DatosP!#REF!-DatosP!#REF!+DatosP!#REF!)/(DatosP!#REF!+DatosP!#REF!-DatosP!#REF!-DatosP!#REF!)),(DatosP!#REF!-DatosP!#REF!+DatosP!#REF!)/(DatosP!#REF!+DatosP!#REF!-DatosP!#REF!-DatosP!#REF!)," - ")</f>
        <v xml:space="preserve"> - </v>
      </c>
      <c r="AV13" s="948">
        <f>SUBTOTAL(9,AV9:AV12)</f>
        <v>-0.11278195488721804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1.5116424116424116</v>
      </c>
      <c r="AQ18" s="947">
        <f>IF(ISNUMBER(((Datos!M18/Datos!L18)*11)/factor_trimestre),((Datos!M18/Datos!L18)*11)/factor_trimestre," - ")</f>
        <v>9.7518910741301053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-8.1818181818181818E-2</v>
      </c>
      <c r="AW18" s="949">
        <f>IF(ISNUMBER((Datos!Q18-Datos!R18)/(Datos!S18-Datos!Q18+Datos!R18)),(Datos!Q18-Datos!R18)/(Datos!S18-Datos!Q18+Datos!R18)," - ")</f>
        <v>-1.167076167076167E-2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26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104</v>
      </c>
      <c r="AC19" s="960">
        <f t="shared" si="5"/>
        <v>0</v>
      </c>
      <c r="AD19" s="960">
        <f t="shared" si="5"/>
        <v>84</v>
      </c>
      <c r="AE19" s="960">
        <f t="shared" si="5"/>
        <v>0</v>
      </c>
      <c r="AF19" s="961">
        <f t="shared" si="5"/>
        <v>5</v>
      </c>
      <c r="AG19" s="961">
        <f t="shared" si="5"/>
        <v>0</v>
      </c>
      <c r="AH19" s="961">
        <f t="shared" si="5"/>
        <v>590</v>
      </c>
      <c r="AI19" s="961">
        <f t="shared" si="5"/>
        <v>0</v>
      </c>
      <c r="AJ19" s="962">
        <f t="shared" si="5"/>
        <v>0</v>
      </c>
      <c r="AK19" s="962">
        <f t="shared" si="5"/>
        <v>0</v>
      </c>
      <c r="AL19" s="954">
        <f t="shared" si="5"/>
        <v>40</v>
      </c>
      <c r="AM19" s="954">
        <f t="shared" si="5"/>
        <v>63</v>
      </c>
      <c r="AN19" s="954">
        <f t="shared" si="5"/>
        <v>0</v>
      </c>
      <c r="AO19" s="954">
        <f t="shared" si="5"/>
        <v>0</v>
      </c>
      <c r="AP19" s="954">
        <f>IF(ISNUMBER(((Datos!L19/Datos!K19)*11)/factor_trimestre),((Datos!L19/Datos!K19)*11)/factor_trimestre," - ")</f>
        <v>3.61368617582596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-9.454545454545455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-2.6407573492775286E-2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60.04442799572108</v>
      </c>
      <c r="AC21" s="741">
        <f>IF(ISNUMBER(STDEV(AC8:AC18)),STDEV(AC8:AC18),"-")</f>
        <v>0</v>
      </c>
      <c r="AD21" s="744"/>
      <c r="AE21" s="744"/>
      <c r="AF21" s="744"/>
      <c r="AG21" s="744"/>
      <c r="AH21" s="744"/>
      <c r="AI21" s="744"/>
      <c r="AJ21" s="745">
        <f>IF(ISNUMBER(STDEV(AJ8:AJ18)),STDEV(AJ8:AJ18),"-")</f>
        <v>0</v>
      </c>
      <c r="AK21" s="747"/>
      <c r="AL21" s="739">
        <f>IF(ISNUMBER(STDEV(AL8:AL18)),STDEV(AL8:AL18),"-")</f>
        <v>23.094010767585033</v>
      </c>
      <c r="AM21" s="739"/>
      <c r="AN21" s="739">
        <f>IF(ISNUMBER(STDEV(AN8:AN18)),STDEV(AN8:AN18),"-")</f>
        <v>0</v>
      </c>
      <c r="AO21" s="745">
        <f>IF(ISNUMBER(STDEV(AO8:AO18)),STDEV(AO8:AO18),"-")</f>
        <v>0</v>
      </c>
      <c r="AP21" s="782">
        <f>IF(ISNUMBER(STDEV(AP8:AP18)),STDEV(AP8:AP18),"-")</f>
        <v>3.0181864385809765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d7LctZngIr1aODPMajJKuThcaySQUQybekcEMATzGjMF+rdjVgV+DFR8EEdD5IHQWSjpBX3ulnhmzJcjgpp1w==" saltValue="zKw569LwTkOIytHkLaML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LAS PALMAS</v>
      </c>
      <c r="C3" s="418"/>
      <c r="F3" s="378"/>
      <c r="G3" s="378"/>
      <c r="H3" s="378"/>
    </row>
    <row r="4" spans="1:15" ht="13.5" thickBot="1">
      <c r="A4" s="378"/>
      <c r="B4" s="394" t="str">
        <f>Criterios!A11 &amp;"  "&amp;Criterios!B11</f>
        <v>Resumenes por Partidos Judiciales  ARRECIFE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FIRaG2gES4DQ+2ttSWRtB5BcIotpmOVpj663taEypkS+84zyvzaDO31vM4BAXHcCLz/YlnhrVZYUuYYv3R2sA==" saltValue="2xFvupv14folA6F/VD3B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ARRECIFE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1787</v>
      </c>
      <c r="E9" s="407">
        <f t="shared" ref="E9:E13" si="0">IF(ISNUMBER(D9/B9),D9/B9," - ")</f>
        <v>357.4</v>
      </c>
      <c r="F9" s="406">
        <f>IF(ISNUMBER(Datos!N9),Datos!N9," - ")</f>
        <v>6415</v>
      </c>
      <c r="G9" s="407">
        <f t="shared" ref="G9:G13" si="1">IF(ISNUMBER(F9/B9),F9/B9," - ")</f>
        <v>1283</v>
      </c>
      <c r="H9" s="406">
        <f>IF(ISNUMBER(Datos!O9),Datos!O9," - ")</f>
        <v>2934</v>
      </c>
      <c r="I9" s="407">
        <f>IF(ISNUMBER(H9/B9),H9/B9," - ")</f>
        <v>586.79999999999995</v>
      </c>
    </row>
    <row r="10" spans="1:9">
      <c r="A10" s="405" t="str">
        <f>Datos!A10</f>
        <v>Jdos. Violencia contra la mujer</v>
      </c>
      <c r="B10" s="430">
        <f>Datos!AO10</f>
        <v>1</v>
      </c>
      <c r="C10" s="413">
        <f>Datos!AQ10</f>
        <v>0</v>
      </c>
      <c r="D10" s="406">
        <f>IF(ISNUMBER(Datos!M10),Datos!M10," - ")</f>
        <v>40</v>
      </c>
      <c r="E10" s="407">
        <f>IF(ISNUMBER(D10/B10),D10/B10," - ")</f>
        <v>40</v>
      </c>
      <c r="F10" s="406">
        <f>IF(ISNUMBER(Datos!N10),Datos!N10," - ")</f>
        <v>57</v>
      </c>
      <c r="G10" s="407">
        <f>IF(ISNUMBER(F10/B10),F10/B10," - ")</f>
        <v>57</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6</v>
      </c>
      <c r="G12" s="407" t="str">
        <f t="shared" si="1"/>
        <v xml:space="preserve"> - </v>
      </c>
      <c r="H12" s="406">
        <f>IF(ISNUMBER(Datos!O12),Datos!O12," - ")</f>
        <v>49</v>
      </c>
      <c r="I12" s="407" t="str">
        <f t="shared" si="2"/>
        <v xml:space="preserve"> - </v>
      </c>
    </row>
    <row r="13" spans="1:9" ht="14.25" thickTop="1" thickBot="1">
      <c r="A13" s="851" t="str">
        <f>Datos!A13</f>
        <v>TOTAL</v>
      </c>
      <c r="B13" s="852">
        <f>Datos!AO13</f>
        <v>6</v>
      </c>
      <c r="C13" s="854">
        <f>Datos!AR13</f>
        <v>5</v>
      </c>
      <c r="D13" s="852">
        <f>SUBTOTAL(9,D9:D12)</f>
        <v>1827</v>
      </c>
      <c r="E13" s="853">
        <f t="shared" si="0"/>
        <v>304.5</v>
      </c>
      <c r="F13" s="852">
        <f>SUBTOTAL(9,F9:F12)</f>
        <v>6478</v>
      </c>
      <c r="G13" s="853">
        <f t="shared" si="1"/>
        <v>1079.6666666666667</v>
      </c>
      <c r="H13" s="852">
        <f>SUBTOTAL(9,H9:H12)</f>
        <v>2987</v>
      </c>
      <c r="I13" s="853">
        <f>IF(ISNUMBER(H13/B13),H13/B13," - ")</f>
        <v>497.83333333333331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1570</v>
      </c>
      <c r="E15" s="407">
        <f t="shared" ref="E15:E18" si="3">IF(ISNUMBER(D15/B15),D15/B15," - ")</f>
        <v>392.5</v>
      </c>
      <c r="F15" s="406">
        <f>IF(ISNUMBER(Datos!N15),Datos!N15," - ")</f>
        <v>9799</v>
      </c>
      <c r="G15" s="407">
        <f t="shared" ref="G15:G18" si="4">IF(ISNUMBER(F15/B15),F15/B15," - ")</f>
        <v>2449.75</v>
      </c>
      <c r="H15" s="406">
        <f>IF(ISNUMBER(Datos!O15),Datos!O15," - ")</f>
        <v>221</v>
      </c>
      <c r="I15" s="407">
        <f t="shared" ref="I15:I17" si="5">IF(ISNUMBER(H15/B15),H15/B15," - ")</f>
        <v>55.25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188</v>
      </c>
      <c r="E17" s="407">
        <f>IF(ISNUMBER(D17/B17),D17/B17," - ")</f>
        <v>188</v>
      </c>
      <c r="F17" s="406">
        <f>IF(ISNUMBER(Datos!N17),Datos!N17," - ")</f>
        <v>332</v>
      </c>
      <c r="G17" s="407">
        <f>IF(ISNUMBER(F17/B17),F17/B17," - ")</f>
        <v>332</v>
      </c>
      <c r="H17" s="406">
        <f>IF(ISNUMBER(Datos!O17),Datos!O17," - ")</f>
        <v>21</v>
      </c>
      <c r="I17" s="407">
        <f t="shared" si="5"/>
        <v>21</v>
      </c>
    </row>
    <row r="18" spans="1:9" ht="14.25" thickTop="1" thickBot="1">
      <c r="A18" s="851" t="str">
        <f>Datos!A18</f>
        <v>TOTAL</v>
      </c>
      <c r="B18" s="852">
        <f>Datos!AO18</f>
        <v>5</v>
      </c>
      <c r="C18" s="854">
        <f>Datos!AR18</f>
        <v>4</v>
      </c>
      <c r="D18" s="852">
        <f>SUBTOTAL(9,D15:D17)</f>
        <v>1758</v>
      </c>
      <c r="E18" s="853">
        <f t="shared" si="3"/>
        <v>351.6</v>
      </c>
      <c r="F18" s="852">
        <f>SUBTOTAL(9,F15:F17)</f>
        <v>10131</v>
      </c>
      <c r="G18" s="853">
        <f t="shared" si="4"/>
        <v>2026.2</v>
      </c>
      <c r="H18" s="852">
        <f>SUBTOTAL(9,H15:H17)</f>
        <v>242</v>
      </c>
      <c r="I18" s="853">
        <f>IF(ISNUMBER(H18/B18),H18/B18," - ")</f>
        <v>48.4</v>
      </c>
    </row>
    <row r="19" spans="1:9" ht="14.25" thickTop="1" thickBot="1">
      <c r="A19" s="796" t="str">
        <f>Datos!A19</f>
        <v>TOTAL JURISDICCIONES</v>
      </c>
      <c r="B19" s="797">
        <f>Datos!AP19</f>
        <v>9</v>
      </c>
      <c r="C19" s="797">
        <f>Datos!AR19</f>
        <v>9</v>
      </c>
      <c r="D19" s="797">
        <f>SUBTOTAL(9,D8:D18)</f>
        <v>3585</v>
      </c>
      <c r="E19" s="798">
        <f>IF(ISNUMBER(D19/B19),D19/B19," - ")</f>
        <v>398.33333333333331</v>
      </c>
      <c r="F19" s="797">
        <f>SUBTOTAL(9,F8:F18)</f>
        <v>16609</v>
      </c>
      <c r="G19" s="798">
        <f>IF(ISNUMBER(F19/B19),F19/B19," - ")</f>
        <v>1845.4444444444443</v>
      </c>
      <c r="H19" s="797">
        <f>SUBTOTAL(9,H8:H18)</f>
        <v>3229</v>
      </c>
      <c r="I19" s="798">
        <f>IF(ISNUMBER(H19/B19),H19/B19," - ")</f>
        <v>358.77777777777777</v>
      </c>
    </row>
    <row r="22" spans="1:9">
      <c r="A22" s="394" t="str">
        <f>Criterios!A4</f>
        <v>Fecha Informe: 03 may. 2024</v>
      </c>
    </row>
    <row r="27" spans="1:9">
      <c r="A27" s="417"/>
    </row>
  </sheetData>
  <sheetProtection algorithmName="SHA-512" hashValue="1V1B6kHMH5qVbwTX7enEUknxDL1feA0mEiHGhn1HsRCIhwP02HOhf0Phym1oDHcPxHa1cMTB89Ht8IZGaU3hCA==" saltValue="jp7CVk8OSnp+WADGo0LK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ARRECIFE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1490</v>
      </c>
      <c r="C9" s="437">
        <f>IF(ISNUMBER(Datos!Q9),Datos!Q9," - ")</f>
        <v>1602</v>
      </c>
      <c r="D9" s="411">
        <f>IF(ISNUMBER(Datos!R9),Datos!R9," - ")</f>
        <v>6792</v>
      </c>
    </row>
    <row r="10" spans="1:4">
      <c r="A10" s="405" t="str">
        <f>Datos!A10</f>
        <v>Jdos. Violencia contra la mujer</v>
      </c>
      <c r="B10" s="436">
        <f>IF(ISNUMBER(Datos!P10),Datos!P10," - ")</f>
        <v>17</v>
      </c>
      <c r="C10" s="437">
        <f>IF(ISNUMBER(Datos!Q10),Datos!Q10," - ")</f>
        <v>6</v>
      </c>
      <c r="D10" s="411">
        <f>IF(ISNUMBER(Datos!R10),Datos!R10," - ")</f>
        <v>30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v>
      </c>
      <c r="C12" s="437">
        <f>IF(ISNUMBER(Datos!Q12),Datos!Q12," - ")</f>
        <v>84</v>
      </c>
      <c r="D12" s="411">
        <f>IF(ISNUMBER(Datos!R12),Datos!R12," - ")</f>
        <v>590</v>
      </c>
    </row>
    <row r="13" spans="1:4" ht="14.25" thickTop="1" thickBot="1">
      <c r="A13" s="851" t="str">
        <f>Datos!A13</f>
        <v>TOTAL</v>
      </c>
      <c r="B13" s="852">
        <f>SUBTOTAL(9,B9:B12)</f>
        <v>1516</v>
      </c>
      <c r="C13" s="856">
        <f>SUBTOTAL(9,C9:C12)</f>
        <v>1692</v>
      </c>
      <c r="D13" s="854">
        <f>SUBTOTAL(9,D9:D12)</f>
        <v>7412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330</v>
      </c>
      <c r="C15" s="437">
        <f>IF(ISNUMBER(Datos!Q15),Datos!Q15," - ")</f>
        <v>355</v>
      </c>
      <c r="D15" s="411">
        <f>IF(ISNUMBER(Datos!R15),Datos!R15," - ")</f>
        <v>378</v>
      </c>
    </row>
    <row r="16" spans="1:4">
      <c r="A16" s="405" t="str">
        <f>Datos!A16</f>
        <v xml:space="preserve">Jdos. 1ª Instª. e Instr.                        </v>
      </c>
      <c r="B16" s="436">
        <f>IF(ISNUMBER(Datos!P16),Datos!P16," - ")</f>
        <v>0</v>
      </c>
      <c r="C16" s="437">
        <f>IF(ISNUMBER(Datos!Q16),Datos!Q16," - ")</f>
        <v>0</v>
      </c>
      <c r="D16" s="411">
        <f>IF(ISNUMBER(Datos!R16),Datos!R16," - ")</f>
        <v>1</v>
      </c>
    </row>
    <row r="17" spans="1:4" ht="13.5" thickBot="1">
      <c r="A17" s="405" t="str">
        <f>Datos!A17</f>
        <v>Jdos. Violencia contra la mujer</v>
      </c>
      <c r="B17" s="436">
        <f>IF(ISNUMBER(Datos!P17),Datos!P17," - ")</f>
        <v>19</v>
      </c>
      <c r="C17" s="437">
        <f>IF(ISNUMBER(Datos!Q17),Datos!Q17," - ")</f>
        <v>30</v>
      </c>
      <c r="D17" s="411">
        <f>IF(ISNUMBER(Datos!R17),Datos!R17," - ")</f>
        <v>25</v>
      </c>
    </row>
    <row r="18" spans="1:4" ht="14.25" thickTop="1" thickBot="1">
      <c r="A18" s="851" t="str">
        <f>Datos!A18</f>
        <v>TOTAL</v>
      </c>
      <c r="B18" s="852">
        <f>SUBTOTAL(9,B15:B17)</f>
        <v>349</v>
      </c>
      <c r="C18" s="856">
        <f>SUBTOTAL(9,C15:C17)</f>
        <v>385</v>
      </c>
      <c r="D18" s="854">
        <f>SUBTOTAL(9,D15:D17)</f>
        <v>404</v>
      </c>
    </row>
    <row r="19" spans="1:4" ht="16.5" customHeight="1" thickTop="1" thickBot="1">
      <c r="A19" s="796" t="str">
        <f>Datos!A19</f>
        <v>TOTAL JURISDICCIONES</v>
      </c>
      <c r="B19" s="801">
        <f>SUBTOTAL(9,B8:B18)</f>
        <v>1865</v>
      </c>
      <c r="C19" s="802">
        <f>SUBTOTAL(9,C8:C18)</f>
        <v>2077</v>
      </c>
      <c r="D19" s="803">
        <f>SUBTOTAL(9,D8:D18)</f>
        <v>7816</v>
      </c>
    </row>
    <row r="20" spans="1:4" ht="7.5" customHeight="1"/>
    <row r="21" spans="1:4" ht="6" customHeight="1"/>
    <row r="22" spans="1:4">
      <c r="A22" s="394" t="str">
        <f>Criterios!A4</f>
        <v>Fecha Informe: 03 may. 2024</v>
      </c>
    </row>
    <row r="27" spans="1:4">
      <c r="A27" s="417"/>
    </row>
  </sheetData>
  <sheetProtection algorithmName="SHA-512" hashValue="scA7nDx122RxLM1SCZSc+QrrYCiNixL7ncVYuuz1TAUGDEqTACzhj7CEhwxoNwqahyzkEWdfMU70Qx7r+c7OlQ==" saltValue="CqIqEnERLe1zQJ+/qy9b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ARRECIFE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0.20688073394495413</v>
      </c>
      <c r="C9" s="459">
        <f>IF(ISNUMBER(
   IF(J_V="SI",(Datos!J9-Datos!T9)/Datos!T9,(Datos!J9+Datos!Z9-(Datos!T9+Datos!AH9))/(Datos!T9+Datos!AH9))
     ),IF(J_V="SI",(Datos!J9-Datos!T9)/Datos!T9,(Datos!J9+Datos!Z9-(Datos!T9+Datos!AH9))/(Datos!T9+Datos!AH9))," - ")</f>
        <v>0.12968886304158186</v>
      </c>
      <c r="D9" s="459">
        <f>IF(ISNUMBER(
   IF(J_V="SI",(Datos!K9-Datos!U9)/Datos!U9,(Datos!K9+Datos!AA9-(Datos!U9+Datos!AI9))/(Datos!U9+Datos!AI9))
     ),IF(J_V="SI",(Datos!K9-Datos!U9)/Datos!U9,(Datos!K9+Datos!AA9-(Datos!U9+Datos!AI9))/(Datos!U9+Datos!AI9))," - ")</f>
        <v>0.12395114179500796</v>
      </c>
      <c r="E9" s="459">
        <f>IF(ISNUMBER(
   IF(J_V="SI",(Datos!L9-Datos!V9)/Datos!V9,(Datos!L9+Datos!AB9-(Datos!V9+Datos!AJ9))/(Datos!V9+Datos!AJ9))
     ),IF(J_V="SI",(Datos!L9-Datos!V9)/Datos!V9,(Datos!L9+Datos!AB9-(Datos!V9+Datos!AJ9))/(Datos!V9+Datos!AJ9))," - ")</f>
        <v>0.20087419232231091</v>
      </c>
      <c r="F9" s="459">
        <f>IF(ISNUMBER((Datos!M9-Datos!W9)/Datos!W9),(Datos!M9-Datos!W9)/Datos!W9," - ")</f>
        <v>9.9015990159901604E-2</v>
      </c>
      <c r="G9" s="460">
        <f>IF(ISNUMBER((Datos!N9-Datos!X9)/Datos!X9),(Datos!N9-Datos!X9)/Datos!X9," - ")</f>
        <v>0.18227054920751934</v>
      </c>
      <c r="H9" s="458">
        <f>IF(ISNUMBER(((NºAsuntos!G9/NºAsuntos!E9)-Datos!BD9)/Datos!BD9),((NºAsuntos!G9/NºAsuntos!E9)-Datos!BD9)/Datos!BD9," - ")</f>
        <v>-5.0790278936853504E-3</v>
      </c>
      <c r="I9" s="459">
        <f>IF(ISNUMBER(((NºAsuntos!I9/NºAsuntos!G9)-Datos!BE9)/Datos!BE9),((NºAsuntos!I9/NºAsuntos!G9)-Datos!BE9)/Datos!BE9," - ")</f>
        <v>6.8439852647378299E-2</v>
      </c>
      <c r="J9" s="464">
        <f>IF(ISNUMBER((('Resol  Asuntos'!D9/NºAsuntos!G9)-Datos!BF9)/Datos!BF9),(('Resol  Asuntos'!D9/NºAsuntos!G9)-Datos!BF9)/Datos!BF9," - ")</f>
        <v>-0.70697995532127489</v>
      </c>
      <c r="K9" s="465">
        <f>IF(ISNUMBER((((NºAsuntos!C9+NºAsuntos!E9)/NºAsuntos!G9)-Datos!BG9)/Datos!BG9),(((NºAsuntos!C9+NºAsuntos!E9)/NºAsuntos!G9)-Datos!BG9)/Datos!BG9," - ")</f>
        <v>2.5506983638754411E-2</v>
      </c>
    </row>
    <row r="10" spans="1:11">
      <c r="A10" s="405" t="str">
        <f>Datos!A10</f>
        <v>Jdos. Violencia contra la mujer</v>
      </c>
      <c r="B10" s="458">
        <f>IF(ISNUMBER((Datos!I10-Datos!S10)/Datos!S10),(Datos!I10-Datos!S10)/Datos!S10," - ")</f>
        <v>-0.56000000000000005</v>
      </c>
      <c r="C10" s="459">
        <f>IF(ISNUMBER((Datos!J10-Datos!T10)/Datos!T10),(Datos!J10-Datos!T10)/Datos!T10," - ")</f>
        <v>0.24050632911392406</v>
      </c>
      <c r="D10" s="459">
        <f>IF(ISNUMBER((Datos!K10-Datos!U10)/Datos!U10),(Datos!K10-Datos!U10)/Datos!U10," - ")</f>
        <v>0.11827956989247312</v>
      </c>
      <c r="E10" s="459">
        <f>IF(ISNUMBER((Datos!L10-Datos!V10)/Datos!V10),(Datos!L10-Datos!V10)/Datos!V10," - ")</f>
        <v>-0.54545454545454541</v>
      </c>
      <c r="F10" s="459">
        <f>IF(ISNUMBER((Datos!M10-Datos!W10)/Datos!W10),(Datos!M10-Datos!W10)/Datos!W10," - ")</f>
        <v>8.1081081081081086E-2</v>
      </c>
      <c r="G10" s="460">
        <f>IF(ISNUMBER((Datos!N10-Datos!X10)/Datos!X10),(Datos!N10-Datos!X10)/Datos!X10," - ")</f>
        <v>0.32558139534883723</v>
      </c>
      <c r="H10" s="458">
        <f>IF(ISNUMBER(((NºAsuntos!G10/NºAsuntos!E10)-Datos!BD10)/Datos!BD10),((NºAsuntos!G10/NºAsuntos!E10)-Datos!BD10)/Datos!BD10," - ")</f>
        <v>-9.8529734474434916E-2</v>
      </c>
      <c r="I10" s="459">
        <f>IF(ISNUMBER(((NºAsuntos!I10/NºAsuntos!G10)-Datos!BE10)/Datos!BE10),((NºAsuntos!I10/NºAsuntos!G10)-Datos!BE10)/Datos!BE10," - ")</f>
        <v>-0.59353146853146854</v>
      </c>
      <c r="J10" s="464">
        <f>IF(ISNUMBER((('Resol  Asuntos'!D10/NºAsuntos!G10)-Datos!BF10)/Datos!BF10),(('Resol  Asuntos'!D10/NºAsuntos!G10)-Datos!BF10)/Datos!BF10," - ")</f>
        <v>-3.3264033264033162E-2</v>
      </c>
      <c r="K10" s="465">
        <f>IF(ISNUMBER((((NºAsuntos!C10+NºAsuntos!E10)/NºAsuntos!G10)-Datos!BG10)/Datos!BG10),(((NºAsuntos!C10+NºAsuntos!E10)/NºAsuntos!G10)-Datos!BG10)/Datos!BG10," - ")</f>
        <v>-6.2777366863905198E-2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-1</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0.20246238030095759</v>
      </c>
      <c r="C13" s="858">
        <f>IF(ISNUMBER(
   IF(J_V="SI",(Datos!J13-Datos!T13)/Datos!T13,(Datos!J13+Datos!Z13-(Datos!T13+Datos!AH13))/(Datos!T13+Datos!AH13))
     ),IF(J_V="SI",(Datos!J13-Datos!T13)/Datos!T13,(Datos!J13+Datos!Z13-(Datos!T13+Datos!AH13))/(Datos!T13+Datos!AH13))," - ")</f>
        <v>0.13101192766448633</v>
      </c>
      <c r="D13" s="858">
        <f>IF(ISNUMBER(
   IF(J_V="SI",(Datos!K13-Datos!U13)/Datos!U13,(Datos!K13+Datos!AA13-(Datos!U13+Datos!AI13))/(Datos!U13+Datos!AI13))
     ),IF(J_V="SI",(Datos!K13-Datos!U13)/Datos!U13,(Datos!K13+Datos!AA13-(Datos!U13+Datos!AI13))/(Datos!U13+Datos!AI13))," - ")</f>
        <v>0.12452671434581405</v>
      </c>
      <c r="E13" s="858">
        <f>IF(ISNUMBER(
   IF(J_V="SI",(Datos!L13-Datos!V13)/Datos!V13,(Datos!L13+Datos!AB13-(Datos!V13+Datos!AJ13))/(Datos!V13+Datos!AJ13))
     ),IF(J_V="SI",(Datos!L13-Datos!V13)/Datos!V13,(Datos!L13+Datos!AB13-(Datos!V13+Datos!AJ13))/(Datos!V13+Datos!AJ13))," - ")</f>
        <v>0.19908987485779295</v>
      </c>
      <c r="F13" s="859">
        <f>IF(ISNUMBER((Datos!M13-Datos!W13)/Datos!W13),(Datos!M13-Datos!W13)/Datos!W13," - ")</f>
        <v>9.8616957306073366E-2</v>
      </c>
      <c r="G13" s="860">
        <f>IF(ISNUMBER((Datos!N13-Datos!X13)/Datos!X13),(Datos!N13-Datos!X13)/Datos!X13," - ")</f>
        <v>0.1844944231120863</v>
      </c>
      <c r="H13" s="860">
        <f>IF(ISNUMBER(((NºAsuntos!G13/NºAsuntos!E13)-Datos!BD13)/Datos!BD13),((NºAsuntos!G13/NºAsuntos!E13)-Datos!BD13)/Datos!BD13," - ")</f>
        <v>-5.7339919766046981E-3</v>
      </c>
      <c r="I13" s="860">
        <f>IF(ISNUMBER(((NºAsuntos!I13/NºAsuntos!G13)-Datos!BE13)/Datos!BE13),((NºAsuntos!I13/NºAsuntos!G13)-Datos!BE13)/Datos!BE13," - ")</f>
        <v>6.6306259834258752E-2</v>
      </c>
      <c r="J13" s="860">
        <f>IF(ISNUMBER((('Resol  Asuntos'!D13/NºAsuntos!G13)-Datos!BF13)/Datos!BF13),(('Resol  Asuntos'!D13/NºAsuntos!G13)-Datos!BF13)/Datos!BF13," - ")</f>
        <v>-0.70260232442183757</v>
      </c>
      <c r="K13" s="860">
        <f>IF(ISNUMBER((((NºAsuntos!C13+NºAsuntos!E13)/NºAsuntos!G13)-Datos!BG13)/Datos!BG13),(((NºAsuntos!C13+NºAsuntos!E13)/NºAsuntos!G13)-Datos!BG13)/Datos!BG13," - ")</f>
        <v>2.4619633498299785E-2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4.5051194539249148E-2</v>
      </c>
      <c r="C15" s="459">
        <f>IF(ISNUMBER(
   IF(D_I="SI",(Datos!J15-Datos!T15)/Datos!T15,(Datos!J15+Datos!AD15-(Datos!T15+Datos!AL15))/(Datos!T15+Datos!AL15))
     ),IF(D_I="SI",(Datos!J15-Datos!T15)/Datos!T15,(Datos!J15+Datos!AD15-(Datos!T15+Datos!AL15))/(Datos!T15+Datos!AL15))," - ")</f>
        <v>2.6179159049360145E-2</v>
      </c>
      <c r="D15" s="459">
        <f>IF(ISNUMBER(
   IF(D_I="SI",(Datos!K15-Datos!U15)/Datos!U15,(Datos!K15+Datos!AE15-(Datos!U15+Datos!AM15))/(Datos!U15+Datos!AM15))
     ),IF(D_I="SI",(Datos!K15-Datos!U15)/Datos!U15,(Datos!K15+Datos!AE15-(Datos!U15+Datos!AM15))/(Datos!U15+Datos!AM15))," - ")</f>
        <v>4.5928410002187064E-3</v>
      </c>
      <c r="E15" s="459">
        <f>IF(ISNUMBER(
   IF(D_I="SI",(Datos!L15-Datos!V15)/Datos!V15,(Datos!L15+Datos!AF15-(Datos!V15+Datos!AN15))/(Datos!V15+Datos!AN15))
     ),IF(D_I="SI",(Datos!L15-Datos!V15)/Datos!V15,(Datos!L15+Datos!AF15-(Datos!V15+Datos!AN15))/(Datos!V15+Datos!AN15))," - ")</f>
        <v>0.23448726322664926</v>
      </c>
      <c r="F15" s="459">
        <f>IF(ISNUMBER((Datos!M15-Datos!W15)/Datos!W15),(Datos!M15-Datos!W15)/Datos!W15," - ")</f>
        <v>5.9379217273954114E-2</v>
      </c>
      <c r="G15" s="460">
        <f>IF(ISNUMBER((Datos!N15-Datos!X15)/Datos!X15),(Datos!N15-Datos!X15)/Datos!X15," - ")</f>
        <v>2.0516559050197874E-2</v>
      </c>
      <c r="H15" s="458">
        <f>IF(ISNUMBER(((NºAsuntos!G15/NºAsuntos!E15)-Datos!BD15)/Datos!BD15),((NºAsuntos!G15/NºAsuntos!E15)-Datos!BD15)/Datos!BD15," - ")</f>
        <v>-2.1035623125633042E-2</v>
      </c>
      <c r="I15" s="459">
        <f>IF(ISNUMBER(((NºAsuntos!I15/NºAsuntos!G15)-Datos!BE15)/Datos!BE15),((NºAsuntos!I15/NºAsuntos!G15)-Datos!BE15)/Datos!BE15," - ")</f>
        <v>0.22884338096371171</v>
      </c>
      <c r="J15" s="464">
        <f>IF(ISNUMBER((('Resol  Asuntos'!D15/NºAsuntos!G15)-Datos!BF15)/Datos!BF15),(('Resol  Asuntos'!D15/NºAsuntos!G15)-Datos!BF15)/Datos!BF15," - ")</f>
        <v>5.4535901549116667E-2</v>
      </c>
      <c r="K15" s="465">
        <f>IF(ISNUMBER((((NºAsuntos!C15+NºAsuntos!E15)/NºAsuntos!G15)-Datos!BG15)/Datos!BG15),(((NºAsuntos!C15+NºAsuntos!E15)/NºAsuntos!G15)-Datos!BG15)/Datos!BG15," - ")</f>
        <v>2.3305404996040887E-2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-1</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-0.24475524475524477</v>
      </c>
      <c r="C17" s="459">
        <f>IF(ISNUMBER(
   IF(D_I="SI",(Datos!J17-Datos!T17)/Datos!T17,(Datos!J17+Datos!AD17-(Datos!T17+Datos!AL17))/(Datos!T17+Datos!AL17))
     ),IF(D_I="SI",(Datos!J17-Datos!T17)/Datos!T17,(Datos!J17+Datos!AD17-(Datos!T17+Datos!AL17))/(Datos!T17+Datos!AL17))," - ")</f>
        <v>-7.1111111111111111E-2</v>
      </c>
      <c r="D17" s="459">
        <f>IF(ISNUMBER(
   IF(D_I="SI",(Datos!K17-Datos!U17)/Datos!U17,(Datos!K17+Datos!AE17-(Datos!U17+Datos!AM17))/(Datos!U17+Datos!AM17))
     ),IF(D_I="SI",(Datos!K17-Datos!U17)/Datos!U17,(Datos!K17+Datos!AE17-(Datos!U17+Datos!AM17))/(Datos!U17+Datos!AM17))," - ")</f>
        <v>-5.1094890510948905E-2</v>
      </c>
      <c r="E17" s="459">
        <f>IF(ISNUMBER(
   IF(D_I="SI",(Datos!L17-Datos!V17)/Datos!V17,(Datos!L17+Datos!AF17-(Datos!V17+Datos!AN17))/(Datos!V17+Datos!AN17))
     ),IF(D_I="SI",(Datos!L17-Datos!V17)/Datos!V17,(Datos!L17+Datos!AF17-(Datos!V17+Datos!AN17))/(Datos!V17+Datos!AN17))," - ")</f>
        <v>-0.1388888888888889</v>
      </c>
      <c r="F17" s="459">
        <f>IF(ISNUMBER((Datos!M17-Datos!W17)/Datos!W17),(Datos!M17-Datos!W17)/Datos!W17," - ")</f>
        <v>-5.5276381909547742E-2</v>
      </c>
      <c r="G17" s="460">
        <f>IF(ISNUMBER((Datos!N17-Datos!X17)/Datos!X17),(Datos!N17-Datos!X17)/Datos!X17," - ")</f>
        <v>0.14878892733564014</v>
      </c>
      <c r="H17" s="458">
        <f>IF(ISNUMBER(((NºAsuntos!G17/NºAsuntos!E17)-Datos!BD17)/Datos!BD17),((NºAsuntos!G17/NºAsuntos!E17)-Datos!BD17)/Datos!BD17," - ")</f>
        <v>2.1548562847064488E-2</v>
      </c>
      <c r="I17" s="459">
        <f>IF(ISNUMBER(((NºAsuntos!I17/NºAsuntos!G17)-Datos!BE17)/Datos!BE17),((NºAsuntos!I17/NºAsuntos!G17)-Datos!BE17)/Datos!BE17," - ")</f>
        <v>-9.2521367521367526E-2</v>
      </c>
      <c r="J17" s="464">
        <f>IF(ISNUMBER((('Resol  Asuntos'!D17/NºAsuntos!G17)-Datos!BF17)/Datos!BF17),(('Resol  Asuntos'!D17/NºAsuntos!G17)-Datos!BF17)/Datos!BF17," - ")</f>
        <v>-4.4066486277541022E-3</v>
      </c>
      <c r="K17" s="465">
        <f>IF(ISNUMBER((((NºAsuntos!C17+NºAsuntos!E17)/NºAsuntos!G17)-Datos!BG17)/Datos!BG17),(((NºAsuntos!C17+NºAsuntos!E17)/NºAsuntos!G17)-Datos!BG17)/Datos!BG17," - ")</f>
        <v>-5.3084446116230984E-2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1.9266625233064015E-2</v>
      </c>
      <c r="C18" s="858">
        <f>IF(ISNUMBER(
   IF(Criterios!B14="SI",(Datos!J18-Datos!T18)/Datos!T18,(Datos!J18+Datos!AD18-(Datos!T18+Datos!AL18))/(Datos!T18+Datos!AL18))
     ),IF(Criterios!B14="SI",(Datos!J18-Datos!T18)/Datos!T18,(Datos!J18+Datos!AD18-(Datos!T18+Datos!AL18))/(Datos!T18+Datos!AL18))," - ")</f>
        <v>2.1602787456445994E-2</v>
      </c>
      <c r="D18" s="858">
        <f>IF(ISNUMBER(
   IF(Criterios!B14="SI",(Datos!K18-Datos!U18)/Datos!U18,(Datos!K18+Datos!AE18-(Datos!U18+Datos!AM18))/(Datos!U18+Datos!AM18))
     ),IF(Criterios!B14="SI",(Datos!K18-Datos!U18)/Datos!U18,(Datos!K18+Datos!AE18-(Datos!U18+Datos!AM18))/(Datos!U18+Datos!AM18))," - ")</f>
        <v>1.9441744202194141E-3</v>
      </c>
      <c r="E18" s="858">
        <f>IF(ISNUMBER(
   IF(Criterios!B14="SI",(Datos!L18-Datos!V18)/Datos!V18,(Datos!L18+Datos!AF18-(Datos!V18+Datos!AN18))/(Datos!V18+Datos!AN18))
     ),IF(Criterios!B14="SI",(Datos!L18-Datos!V18)/Datos!V18,(Datos!L18+Datos!AF18-(Datos!V18+Datos!AN18))/(Datos!V18+Datos!AN18))," - ")</f>
        <v>0.20914634146341463</v>
      </c>
      <c r="F18" s="859">
        <f>IF(ISNUMBER((Datos!M18-Datos!W18)/Datos!W18),(Datos!M18-Datos!W18)/Datos!W18," - ")</f>
        <v>4.5806067816775729E-2</v>
      </c>
      <c r="G18" s="860">
        <f>IF(ISNUMBER((Datos!N18-Datos!X18)/Datos!X18),(Datos!N18-Datos!X18)/Datos!X18," - ")</f>
        <v>2.4264482863208977E-2</v>
      </c>
      <c r="H18" s="860">
        <f>IF(ISNUMBER(((NºAsuntos!G18/NºAsuntos!E18)-Datos!BD18)/Datos!BD18),((NºAsuntos!G18/NºAsuntos!E18)-Datos!BD18)/Datos!BD18," - ")</f>
        <v>-1.9242912487711445E-2</v>
      </c>
      <c r="I18" s="860">
        <f>IF(ISNUMBER(((NºAsuntos!I18/NºAsuntos!G18)-Datos!BE18)/Datos!BE18),((NºAsuntos!I18/NºAsuntos!G18)-Datos!BE18)/Datos!BE18," - ")</f>
        <v>0.20680011155620923</v>
      </c>
      <c r="J18" s="860">
        <f>IF(ISNUMBER((('Resol  Asuntos'!D18/NºAsuntos!G18)-Datos!BF18)/Datos!BF18),(('Resol  Asuntos'!D18/NºAsuntos!G18)-Datos!BF18)/Datos!BF18," - ")</f>
        <v>4.3776783693499972E-2</v>
      </c>
      <c r="K18" s="860">
        <f>IF(ISNUMBER((((NºAsuntos!C18+NºAsuntos!E18)/NºAsuntos!G18)-Datos!BG18)/Datos!BG18),(((NºAsuntos!C18+NºAsuntos!E18)/NºAsuntos!G18)-Datos!BG18)/Datos!BG18," - ")</f>
        <v>1.9385390586593679E-2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0.15329441201000835</v>
      </c>
      <c r="C19" s="805">
        <f>IF(ISNUMBER(
   IF(J_V="SI",(Datos!J19-Datos!T19)/Datos!T19,(Datos!J19+Datos!Z19-(Datos!T19+Datos!AH19))/(Datos!T19+Datos!AH19))
     ),IF(J_V="SI",(Datos!J19-Datos!T19)/Datos!T19,(Datos!J19+Datos!Z19-(Datos!T19+Datos!AH19))/(Datos!T19+Datos!AH19))," - ")</f>
        <v>6.7566475389962008E-2</v>
      </c>
      <c r="D19" s="805">
        <f>IF(ISNUMBER(
   IF(J_V="SI",(Datos!K19-Datos!U19)/Datos!U19,(Datos!K19+Datos!AA19-(Datos!U19+Datos!AI19))/(Datos!U19+Datos!AI19))
     ),IF(J_V="SI",(Datos!K19-Datos!U19)/Datos!U19,(Datos!K19+Datos!AA19-(Datos!U19+Datos!AI19))/(Datos!U19+Datos!AI19))," - ")</f>
        <v>5.0690087829360103E-2</v>
      </c>
      <c r="E19" s="805">
        <f>IF(ISNUMBER(
   IF(J_V="SI",(Datos!L19-Datos!V19)/Datos!V19,(Datos!L19+Datos!AB19-(Datos!V19+Datos!AJ19))/(Datos!V19+Datos!AJ19))
     ),IF(J_V="SI",(Datos!L19-Datos!V19)/Datos!V19,(Datos!L19+Datos!AB19-(Datos!V19+Datos!AJ19))/(Datos!V19+Datos!AJ19))," - ")</f>
        <v>0.20147526757304021</v>
      </c>
      <c r="F19" s="806">
        <f>IF(ISNUMBER((Datos!M19-Datos!W19)/Datos!W19),(Datos!M19-Datos!W19)/Datos!W19," - ")</f>
        <v>7.2069377990430616E-2</v>
      </c>
      <c r="G19" s="807">
        <f>IF(ISNUMBER((Datos!N19-Datos!X19)/Datos!X19),(Datos!N19-Datos!X19)/Datos!X19," - ")</f>
        <v>8.1315104166666666E-2</v>
      </c>
      <c r="H19" s="808">
        <f>IF(ISNUMBER((Tasas!B19-Datos!BD19)/Datos!BD19),(Tasas!B19-Datos!BD19)/Datos!BD19," - ")</f>
        <v>-1.5808277938324362E-2</v>
      </c>
      <c r="I19" s="809">
        <f>IF(ISNUMBER((Tasas!C19-Datos!BE19)/Datos!BE19),(Tasas!C19-Datos!BE19)/Datos!BE19," - ")</f>
        <v>0.14351061410999899</v>
      </c>
      <c r="J19" s="810">
        <f>IF(ISNUMBER((Tasas!D19-Datos!BF19)/Datos!BF19),(Tasas!D19-Datos!BF19)/Datos!BF19," - ")</f>
        <v>-0.52239036547560569</v>
      </c>
      <c r="K19" s="810">
        <f>IF(ISNUMBER((Tasas!E19-Datos!BG19)/Datos!BG19),(Tasas!E19-Datos!BG19)/Datos!BG19," - ")</f>
        <v>3.1973979665870469E-2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CPK6mB0td2WMuf8EdC7Tt4p6MRBGTauIsXLv7okkDZ7+l6LwAER5nkWzbCW5ow9N5Y7Y9EBPSmWYkjxLxVl2w==" saltValue="GTAE6i1sQun68Sgk4PfL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ARRECIFE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0.90793650793650793</v>
      </c>
      <c r="C9" s="446">
        <f>IF(ISNUMBER(NºAsuntos!I9/NºAsuntos!G9),NºAsuntos!I9/NºAsuntos!G9," - ")</f>
        <v>0.59714609714609712</v>
      </c>
      <c r="D9" s="447">
        <f>IF(ISNUMBER('Resol  Asuntos'!D9/NºAsuntos!G9),'Resol  Asuntos'!D9/NºAsuntos!G9," - ")</f>
        <v>0.16887166887166888</v>
      </c>
      <c r="E9" s="448">
        <f>IF(ISNUMBER((NºAsuntos!C9+NºAsuntos!E9)/NºAsuntos!G9),(NºAsuntos!C9+NºAsuntos!E9)/NºAsuntos!G9," - ")</f>
        <v>1.5986580986580987</v>
      </c>
      <c r="G9" s="466"/>
    </row>
    <row r="10" spans="1:7">
      <c r="A10" s="405" t="str">
        <f>Datos!A10</f>
        <v>Jdos. Violencia contra la mujer</v>
      </c>
      <c r="B10" s="445">
        <f>IF(ISNUMBER(NºAsuntos!G10/NºAsuntos!E10),NºAsuntos!G10/NºAsuntos!E10," - ")</f>
        <v>1.0612244897959184</v>
      </c>
      <c r="C10" s="446">
        <f>IF(ISNUMBER(NºAsuntos!I10/NºAsuntos!G10),NºAsuntos!I10/NºAsuntos!G10," - ")</f>
        <v>4.807692307692308E-2</v>
      </c>
      <c r="D10" s="447">
        <f>IF(ISNUMBER('Resol  Asuntos'!D10/NºAsuntos!G10),'Resol  Asuntos'!D10/NºAsuntos!G10," - ")</f>
        <v>0.38461538461538464</v>
      </c>
      <c r="E10" s="448">
        <f>IF(ISNUMBER((NºAsuntos!C10+NºAsuntos!E10)/NºAsuntos!G10),(NºAsuntos!C10+NºAsuntos!E10)/NºAsuntos!G10," - ")</f>
        <v>1.0480769230769231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v>
      </c>
      <c r="C12" s="446">
        <f>IF(ISNUMBER(NºAsuntos!I12/NºAsuntos!G12),NºAsuntos!I12/NºAsuntos!G12," - ")</f>
        <v>0</v>
      </c>
      <c r="D12" s="447">
        <f>IF(ISNUMBER('Resol  Asuntos'!D12/NºAsuntos!G12),'Resol  Asuntos'!D12/NºAsuntos!G12," - ")</f>
        <v>0</v>
      </c>
      <c r="E12" s="448">
        <f>IF(ISNUMBER((NºAsuntos!C12+NºAsuntos!E12)/NºAsuntos!G12),(NºAsuntos!C12+NºAsuntos!E12)/NºAsuntos!G12," - ")</f>
        <v>1</v>
      </c>
      <c r="G12" s="466"/>
    </row>
    <row r="13" spans="1:7" ht="14.25" thickTop="1" thickBot="1">
      <c r="A13" s="851" t="str">
        <f>Datos!A13</f>
        <v>TOTAL</v>
      </c>
      <c r="B13" s="861">
        <f>IF(ISNUMBER(NºAsuntos!G13/NºAsuntos!E13),NºAsuntos!G13/NºAsuntos!E13," - ")</f>
        <v>0.90933832284402105</v>
      </c>
      <c r="C13" s="862">
        <f>IF(ISNUMBER(NºAsuntos!I13/NºAsuntos!G13),NºAsuntos!I13/NºAsuntos!G13," - ")</f>
        <v>0.59147025813692478</v>
      </c>
      <c r="D13" s="863">
        <f>IF(ISNUMBER('Resol  Asuntos'!D13/NºAsuntos!G13),'Resol  Asuntos'!D13/NºAsuntos!G13," - ")</f>
        <v>0.17087542087542087</v>
      </c>
      <c r="E13" s="864">
        <f>IF(ISNUMBER((NºAsuntos!C13+NºAsuntos!E13)/NºAsuntos!G13),(NºAsuntos!C13+NºAsuntos!E13)/NºAsuntos!G13," - ")</f>
        <v>1.5929667040778153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0.98197106819639424</v>
      </c>
      <c r="C15" s="446">
        <f>IF(ISNUMBER(NºAsuntos!I15/NºAsuntos!G15),NºAsuntos!I15/NºAsuntos!G15," - ")</f>
        <v>0.13715529753265601</v>
      </c>
      <c r="D15" s="447">
        <f>IF(ISNUMBER('Resol  Asuntos'!D15/NºAsuntos!G15),'Resol  Asuntos'!D15/NºAsuntos!G15," - ")</f>
        <v>0.11393323657474601</v>
      </c>
      <c r="E15" s="448">
        <f>IF(ISNUMBER((NºAsuntos!C15+NºAsuntos!E15)/NºAsuntos!G15),(NºAsuntos!C15+NºAsuntos!E15)/NºAsuntos!G15," - ")</f>
        <v>1.1294629898403483</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1.036682615629984</v>
      </c>
      <c r="C17" s="446">
        <f>IF(ISNUMBER(NºAsuntos!I17/NºAsuntos!G17),NºAsuntos!I17/NºAsuntos!G17," - ")</f>
        <v>0.14307692307692307</v>
      </c>
      <c r="D17" s="447">
        <f>IF(ISNUMBER('Resol  Asuntos'!D17/NºAsuntos!G17),'Resol  Asuntos'!D17/NºAsuntos!G17," - ")</f>
        <v>0.28923076923076924</v>
      </c>
      <c r="E17" s="448">
        <f>IF(ISNUMBER((NºAsuntos!C17+NºAsuntos!E17)/NºAsuntos!G17),(NºAsuntos!C17+NºAsuntos!E17)/NºAsuntos!G17," - ")</f>
        <v>1.1307692307692307</v>
      </c>
      <c r="G17" s="466"/>
    </row>
    <row r="18" spans="1:7" ht="14.25" thickTop="1" thickBot="1">
      <c r="A18" s="851" t="str">
        <f>Datos!A18</f>
        <v>TOTAL</v>
      </c>
      <c r="B18" s="861">
        <f>IF(ISNUMBER(NºAsuntos!G18/NºAsuntos!E18),NºAsuntos!G18/NºAsuntos!E18," - ")</f>
        <v>0.98431105047748979</v>
      </c>
      <c r="C18" s="862">
        <f>IF(ISNUMBER(NºAsuntos!I18/NºAsuntos!G18),NºAsuntos!I18/NºAsuntos!G18," - ")</f>
        <v>0.13742203742203743</v>
      </c>
      <c r="D18" s="865">
        <f>IF(ISNUMBER('Resol  Asuntos'!D18/NºAsuntos!G18),'Resol  Asuntos'!D18/NºAsuntos!G18," - ")</f>
        <v>0.12182952182952184</v>
      </c>
      <c r="E18" s="864">
        <f>IF(ISNUMBER((NºAsuntos!C18+NºAsuntos!E18)/NºAsuntos!G18),(NºAsuntos!C18+NºAsuntos!E18)/NºAsuntos!G18," - ")</f>
        <v>1.1295911295911296</v>
      </c>
      <c r="G18" s="466"/>
    </row>
    <row r="19" spans="1:7" ht="15.75" customHeight="1" thickTop="1" thickBot="1">
      <c r="A19" s="796" t="str">
        <f>Datos!A19</f>
        <v>TOTAL JURISDICCIONES</v>
      </c>
      <c r="B19" s="811">
        <f>IF(ISNUMBER(NºAsuntos!G19/NºAsuntos!E19),NºAsuntos!G19/NºAsuntos!E19," - ")</f>
        <v>0.95094253917783333</v>
      </c>
      <c r="C19" s="812">
        <f>IF(ISNUMBER(NºAsuntos!I19/NºAsuntos!G19),NºAsuntos!I19/NºAsuntos!G19," - ")</f>
        <v>0.33066634822068308</v>
      </c>
      <c r="D19" s="813">
        <f>IF(ISNUMBER('Resol  Asuntos'!D19/NºAsuntos!G19),'Resol  Asuntos'!D19/NºAsuntos!G19," - ")</f>
        <v>0.14270360640076427</v>
      </c>
      <c r="E19" s="814">
        <f>IF(ISNUMBER((NºAsuntos!C19+NºAsuntos!E19)/NºAsuntos!G19),(NºAsuntos!C19+NºAsuntos!E19)/NºAsuntos!G19," - ")</f>
        <v>1.3268051906695326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PBPOPwF2/9hAiQw/t2BNN2Fo+50ZSJIuB61vbiRdqXaPRlTZ5ux/faVouN0NFAidIVRll2xMzQgkVc+PI5AaQ==" saltValue="f/aBdCA0i1xRWkFWE63R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ARRECIFE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1490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1602</v>
      </c>
      <c r="Y9" s="337">
        <f>SUM(W9:X9)</f>
        <v>1602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6792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1787</v>
      </c>
      <c r="AJ9" s="232" t="str">
        <f>IF(ISNUMBER(Datos!BW9),Datos!BW9," - ")</f>
        <v xml:space="preserve"> - </v>
      </c>
      <c r="AK9" s="231" t="str">
        <f>IF(ISNUMBER(Datos!BX9),Datos!BX9," - ")</f>
        <v xml:space="preserve"> - </v>
      </c>
      <c r="AL9" s="246">
        <f>IF(ISNUMBER(NºAsuntos!G9/NºAsuntos!E9),NºAsuntos!G9/NºAsuntos!E9," - ")</f>
        <v>0.90793650793650793</v>
      </c>
      <c r="AM9" s="263">
        <f>IF(ISNUMBER(((NºAsuntos!I9/NºAsuntos!G9)*11)/factor_trimestre),((NºAsuntos!I9/NºAsuntos!G9)*11)/factor_trimestre," - ")</f>
        <v>6.5686070686070686</v>
      </c>
      <c r="AN9" s="247">
        <f>IF(ISNUMBER('Resol  Asuntos'!D9/NºAsuntos!G9),'Resol  Asuntos'!D9/NºAsuntos!G9," - ")</f>
        <v>0.16887166887166888</v>
      </c>
      <c r="AO9" s="248">
        <f>IF(ISNUMBER((NºAsuntos!C9+NºAsuntos!E9)/NºAsuntos!G9),(NºAsuntos!C9+NºAsuntos!E9)/NºAsuntos!G9," - ")</f>
        <v>1.5986580986580987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104</v>
      </c>
      <c r="X10" s="229">
        <f>IF(ISNUMBER(Datos!Q10),Datos!Q10," - ")</f>
        <v>6</v>
      </c>
      <c r="Y10" s="337">
        <f t="shared" ref="Y10:Y12" si="0">SUM(W10:X10)</f>
        <v>110</v>
      </c>
      <c r="Z10" s="338" t="str">
        <f>IF(ISNUMBER(Datos!CC10),Datos!CC10," - ")</f>
        <v xml:space="preserve"> - </v>
      </c>
      <c r="AA10" s="335">
        <f>IF(ISNUMBER(Datos!L10),Datos!L10,"-")</f>
        <v>5</v>
      </c>
      <c r="AB10" s="337">
        <f>IF(ISNUMBER(Datos!R10),Datos!R10," - ")</f>
        <v>30</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40</v>
      </c>
      <c r="AJ10" s="234" t="str">
        <f>IF(ISNUMBER(Datos!BW10),Datos!BW10," - ")</f>
        <v xml:space="preserve"> - </v>
      </c>
      <c r="AK10" s="235" t="str">
        <f>IF(ISNUMBER(Datos!BX10),Datos!BX10," - ")</f>
        <v xml:space="preserve"> - </v>
      </c>
      <c r="AL10" s="246">
        <f>IF(ISNUMBER(NºAsuntos!G10/NºAsuntos!E10),NºAsuntos!G10/NºAsuntos!E10," - ")</f>
        <v>1.0612244897959184</v>
      </c>
      <c r="AM10" s="263">
        <f>IF(ISNUMBER(((NºAsuntos!I10/NºAsuntos!G10)*11)/factor_trimestre),((NºAsuntos!I10/NºAsuntos!G10)*11)/factor_trimestre," - ")</f>
        <v>0.52884615384615385</v>
      </c>
      <c r="AN10" s="247">
        <f>IF(ISNUMBER('Resol  Asuntos'!D10/NºAsuntos!G10),'Resol  Asuntos'!D10/NºAsuntos!G10," - ")</f>
        <v>0.38461538461538464</v>
      </c>
      <c r="AO10" s="248">
        <f>IF(ISNUMBER((NºAsuntos!C10+NºAsuntos!E10)/NºAsuntos!G10),(NºAsuntos!C10+NºAsuntos!E10)/NºAsuntos!G10," - ")</f>
        <v>1.0480769230769231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v>
      </c>
      <c r="Y12" s="337">
        <f t="shared" si="0"/>
        <v>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1.2</v>
      </c>
      <c r="AM12" s="263">
        <f>IF(ISNUMBER(((NºAsuntos!I12/NºAsuntos!G12)*11)/factor_trimestre),((NºAsuntos!I12/NºAsuntos!G12)*11)/factor_trimestre," - ")</f>
        <v>0</v>
      </c>
      <c r="AN12" s="247">
        <f>IF(ISNUMBER('Resol  Asuntos'!D12/NºAsuntos!G12),'Resol  Asuntos'!D12/NºAsuntos!G12," - ")</f>
        <v>0</v>
      </c>
      <c r="AO12" s="248">
        <f>IF(ISNUMBER((NºAsuntos!C12+NºAsuntos!E12)/NºAsuntos!G12),(NºAsuntos!C12+NºAsuntos!E12)/NºAsuntos!G12," - ")</f>
        <v>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11</v>
      </c>
      <c r="G13" s="869">
        <f t="shared" si="3"/>
        <v>11</v>
      </c>
      <c r="H13" s="868">
        <f t="shared" si="3"/>
        <v>0</v>
      </c>
      <c r="I13" s="870">
        <f t="shared" si="3"/>
        <v>0</v>
      </c>
      <c r="J13" s="870">
        <f t="shared" si="3"/>
        <v>0</v>
      </c>
      <c r="K13" s="870">
        <f t="shared" si="3"/>
        <v>0</v>
      </c>
      <c r="L13" s="870">
        <f t="shared" si="3"/>
        <v>1516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104</v>
      </c>
      <c r="X13" s="870">
        <f t="shared" si="4"/>
        <v>1692</v>
      </c>
      <c r="Y13" s="871">
        <f t="shared" si="4"/>
        <v>1796</v>
      </c>
      <c r="Z13" s="871">
        <f t="shared" si="4"/>
        <v>0</v>
      </c>
      <c r="AA13" s="871">
        <f t="shared" si="4"/>
        <v>5</v>
      </c>
      <c r="AB13" s="871">
        <f t="shared" si="4"/>
        <v>7412</v>
      </c>
      <c r="AC13" s="871">
        <f t="shared" si="4"/>
        <v>35</v>
      </c>
      <c r="AD13" s="871">
        <f t="shared" si="4"/>
        <v>0</v>
      </c>
      <c r="AE13" s="875">
        <f t="shared" si="4"/>
        <v>0</v>
      </c>
      <c r="AF13" s="868">
        <f t="shared" si="4"/>
        <v>0</v>
      </c>
      <c r="AG13" s="876">
        <f t="shared" si="4"/>
        <v>0</v>
      </c>
      <c r="AH13" s="873">
        <f t="shared" si="4"/>
        <v>0</v>
      </c>
      <c r="AI13" s="868">
        <f t="shared" si="4"/>
        <v>1827</v>
      </c>
      <c r="AJ13" s="870">
        <f t="shared" si="4"/>
        <v>0</v>
      </c>
      <c r="AK13" s="873">
        <f>SUBTOTAL(9,AK9:AK12)</f>
        <v>0</v>
      </c>
      <c r="AL13" s="877">
        <f>IF(ISNUMBER(NºAsuntos!G13/NºAsuntos!E13),NºAsuntos!G13/NºAsuntos!E13," - ")</f>
        <v>0.90933832284402105</v>
      </c>
      <c r="AM13" s="877">
        <f>IF(ISNUMBER(((NºAsuntos!I13/NºAsuntos!G13)*11)/factor_trimestre),((NºAsuntos!I13/NºAsuntos!G13)*11)/factor_trimestre," - ")</f>
        <v>6.5061728395061724</v>
      </c>
      <c r="AN13" s="878">
        <f>IF(ISNUMBER('Resol  Asuntos'!D13/NºAsuntos!G13),'Resol  Asuntos'!D13/NºAsuntos!G13," - ")</f>
        <v>0.17087542087542087</v>
      </c>
      <c r="AO13" s="879">
        <f>IF(ISNUMBER((NºAsuntos!C13+NºAsuntos!E13)/NºAsuntos!G13),(NºAsuntos!C13+NºAsuntos!E13)/NºAsuntos!G13," - ")</f>
        <v>1.5929667040778153</v>
      </c>
      <c r="AP13" s="880" t="str">
        <f t="shared" si="2"/>
        <v xml:space="preserve"> - </v>
      </c>
      <c r="AQ13" s="880">
        <f>IF(ISNUMBER((H13-W13+K13)/(F13)),(H13-W13+K13)/(F13)," - ")</f>
        <v>-9.454545454545455</v>
      </c>
      <c r="AR13" s="881">
        <f>IF(ISNUMBER((Datos!P13-Datos!Q13)/(Datos!R13-Datos!P13+Datos!Q13)),(Datos!P13-Datos!Q13)/(Datos!R13-Datos!P13+Datos!Q13)," - ")</f>
        <v>-2.3194517659462309E-2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1637</v>
      </c>
      <c r="G15" s="336">
        <f>IF(ISNUMBER(IF(D_I="SI",Datos!I15,Datos!I15+Datos!AC15)),IF(D_I="SI",Datos!I15,Datos!I15+Datos!AC15)," - ")</f>
        <v>1531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330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13780</v>
      </c>
      <c r="X15" s="229">
        <f>IF(ISNUMBER(Datos!Q15),Datos!Q15," - ")</f>
        <v>355</v>
      </c>
      <c r="Y15" s="337">
        <f>SUM(W15)</f>
        <v>13780</v>
      </c>
      <c r="Z15" s="338" t="str">
        <f>IF(ISNUMBER(Datos!CC15),Datos!CC15," - ")</f>
        <v xml:space="preserve"> - </v>
      </c>
      <c r="AA15" s="335">
        <f>IF(ISNUMBER(IF(D_I="SI",Datos!L15,Datos!L15+Datos!AF15)),IF(D_I="SI",Datos!L15,Datos!L15+Datos!AF15)," - ")</f>
        <v>1890</v>
      </c>
      <c r="AB15" s="337">
        <f>IF(ISNUMBER(Datos!R15),Datos!R15," - ")</f>
        <v>378</v>
      </c>
      <c r="AC15" s="337">
        <f t="shared" ref="AC15:AC17" si="6">IF(ISNUMBER(AA15+AB15),AA15+AB15," - ")</f>
        <v>2268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1570</v>
      </c>
      <c r="AJ15" s="234" t="str">
        <f>IF(ISNUMBER(Datos!BW15),Datos!BW15," - ")</f>
        <v xml:space="preserve"> - </v>
      </c>
      <c r="AK15" s="235" t="str">
        <f>IF(ISNUMBER(Datos!BX15),Datos!BX15," - ")</f>
        <v xml:space="preserve"> - </v>
      </c>
      <c r="AL15" s="246">
        <f>IF(ISNUMBER(NºAsuntos!G15/NºAsuntos!E15),NºAsuntos!G15/NºAsuntos!E15," - ")</f>
        <v>0.98197106819639424</v>
      </c>
      <c r="AM15" s="263">
        <f>IF(ISNUMBER(((NºAsuntos!I15/NºAsuntos!G15)*11)/factor_trimestre),((NºAsuntos!I15/NºAsuntos!G15)*11)/factor_trimestre," - ")</f>
        <v>1.508708272859216</v>
      </c>
      <c r="AN15" s="247">
        <f>IF(ISNUMBER('Resol  Asuntos'!D15/NºAsuntos!G15),'Resol  Asuntos'!D15/NºAsuntos!G15," - ")</f>
        <v>0.11393323657474601</v>
      </c>
      <c r="AO15" s="248">
        <f>IF(ISNUMBER((NºAsuntos!C15+NºAsuntos!E15)/NºAsuntos!G15),(NºAsuntos!C15+NºAsuntos!E15)/NºAsuntos!G15," - ")</f>
        <v>1.1294629898403483</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0</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0</v>
      </c>
      <c r="AB16" s="337">
        <f>IF(ISNUMBER(Datos!R16),Datos!R16," - ")</f>
        <v>1</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650</v>
      </c>
      <c r="X17" s="229">
        <f>IF(ISNUMBER(Datos!Q17),Datos!Q17," - ")</f>
        <v>30</v>
      </c>
      <c r="Y17" s="337">
        <f t="shared" si="7"/>
        <v>680</v>
      </c>
      <c r="Z17" s="338" t="str">
        <f>IF(ISNUMBER(Datos!CC17),Datos!CC17," - ")</f>
        <v xml:space="preserve"> - </v>
      </c>
      <c r="AA17" s="335">
        <f>IF(ISNUMBER(Datos!L17),Datos!L17,"-")</f>
        <v>93</v>
      </c>
      <c r="AB17" s="337">
        <f>IF(ISNUMBER(Datos!R17),Datos!R17," - ")</f>
        <v>25</v>
      </c>
      <c r="AC17" s="337">
        <f t="shared" si="6"/>
        <v>118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188</v>
      </c>
      <c r="AJ17" s="234" t="str">
        <f>IF(ISNUMBER(Datos!BW17),Datos!BW17," - ")</f>
        <v xml:space="preserve"> - </v>
      </c>
      <c r="AK17" s="235" t="str">
        <f>IF(ISNUMBER(Datos!BX17),Datos!BX17," - ")</f>
        <v xml:space="preserve"> - </v>
      </c>
      <c r="AL17" s="246">
        <f>IF(ISNUMBER(NºAsuntos!G17/NºAsuntos!E17),NºAsuntos!G17/NºAsuntos!E17," - ")</f>
        <v>1.036682615629984</v>
      </c>
      <c r="AM17" s="263">
        <f>IF(ISNUMBER(((NºAsuntos!I17/NºAsuntos!G17)*11)/factor_trimestre),((NºAsuntos!I17/NºAsuntos!G17)*11)/factor_trimestre," - ")</f>
        <v>1.5738461538461539</v>
      </c>
      <c r="AN17" s="247">
        <f>IF(ISNUMBER('Resol  Asuntos'!D17/NºAsuntos!G17),'Resol  Asuntos'!D17/NºAsuntos!G17," - ")</f>
        <v>0.28923076923076924</v>
      </c>
      <c r="AO17" s="248">
        <f>IF(ISNUMBER((NºAsuntos!C17+NºAsuntos!E17)/NºAsuntos!G17),(NºAsuntos!C17+NºAsuntos!E17)/NºAsuntos!G17," - ")</f>
        <v>1.1307692307692307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1637</v>
      </c>
      <c r="G18" s="869">
        <f>SUBTOTAL(9,G15:G17)</f>
        <v>1640</v>
      </c>
      <c r="H18" s="868">
        <f t="shared" ref="H18:O18" si="10">SUBTOTAL(9,H14:H17)</f>
        <v>0</v>
      </c>
      <c r="I18" s="870">
        <f t="shared" si="10"/>
        <v>0</v>
      </c>
      <c r="J18" s="870">
        <f t="shared" si="10"/>
        <v>0</v>
      </c>
      <c r="K18" s="870">
        <f t="shared" si="10"/>
        <v>0</v>
      </c>
      <c r="L18" s="870">
        <f t="shared" si="10"/>
        <v>349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14430</v>
      </c>
      <c r="X18" s="870">
        <f t="shared" si="11"/>
        <v>385</v>
      </c>
      <c r="Y18" s="871">
        <f t="shared" si="11"/>
        <v>14460</v>
      </c>
      <c r="Z18" s="871">
        <f t="shared" si="11"/>
        <v>0</v>
      </c>
      <c r="AA18" s="871">
        <f t="shared" si="11"/>
        <v>1983</v>
      </c>
      <c r="AB18" s="871">
        <f t="shared" si="11"/>
        <v>404</v>
      </c>
      <c r="AC18" s="871">
        <f t="shared" si="11"/>
        <v>2387</v>
      </c>
      <c r="AD18" s="871">
        <f t="shared" si="11"/>
        <v>0</v>
      </c>
      <c r="AE18" s="875">
        <f t="shared" si="11"/>
        <v>0</v>
      </c>
      <c r="AF18" s="868">
        <f t="shared" si="11"/>
        <v>0</v>
      </c>
      <c r="AG18" s="876">
        <f t="shared" si="11"/>
        <v>0</v>
      </c>
      <c r="AH18" s="873">
        <f t="shared" si="11"/>
        <v>0</v>
      </c>
      <c r="AI18" s="868">
        <f t="shared" si="11"/>
        <v>1758</v>
      </c>
      <c r="AJ18" s="870">
        <f t="shared" si="11"/>
        <v>0</v>
      </c>
      <c r="AK18" s="873">
        <f t="shared" si="11"/>
        <v>0</v>
      </c>
      <c r="AL18" s="877">
        <f>IF(ISNUMBER(NºAsuntos!G18/NºAsuntos!E18),NºAsuntos!G18/NºAsuntos!E18," - ")</f>
        <v>0.98431105047748979</v>
      </c>
      <c r="AM18" s="877">
        <f>IF(ISNUMBER(((NºAsuntos!I18/NºAsuntos!G18)*11)/factor_trimestre),((NºAsuntos!I18/NºAsuntos!G18)*11)/factor_trimestre," - ")</f>
        <v>1.5116424116424116</v>
      </c>
      <c r="AN18" s="878">
        <f>IF(ISNUMBER('Resol  Asuntos'!D18/NºAsuntos!G18),'Resol  Asuntos'!D18/NºAsuntos!G18," - ")</f>
        <v>0.12182952182952184</v>
      </c>
      <c r="AO18" s="879">
        <f>IF(ISNUMBER((NºAsuntos!C18+NºAsuntos!E18)/NºAsuntos!G18),(NºAsuntos!C18+NºAsuntos!E18)/NºAsuntos!G18," - ")</f>
        <v>1.1295911295911296</v>
      </c>
      <c r="AP18" s="880" t="str">
        <f t="shared" si="2"/>
        <v xml:space="preserve"> - </v>
      </c>
      <c r="AQ18" s="880">
        <f>IF(ISNUMBER((H18-W18+K18)/(F18)),(H18-W18+K18)/(F18)," - ")</f>
        <v>-8.8149053145998781</v>
      </c>
      <c r="AR18" s="881">
        <f>IF(ISNUMBER((Datos!P18-Datos!Q18)/(Datos!R18-Datos!P18+Datos!Q18)),(Datos!P18-Datos!Q18)/(Datos!R18-Datos!P18+Datos!Q18)," - ")</f>
        <v>-8.1818181818181818E-2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1648</v>
      </c>
      <c r="G19" s="824">
        <f t="shared" si="13"/>
        <v>1651</v>
      </c>
      <c r="H19" s="823">
        <f t="shared" si="13"/>
        <v>0</v>
      </c>
      <c r="I19" s="825">
        <f t="shared" si="13"/>
        <v>0</v>
      </c>
      <c r="J19" s="825">
        <f t="shared" si="13"/>
        <v>0</v>
      </c>
      <c r="K19" s="884">
        <f t="shared" si="13"/>
        <v>0</v>
      </c>
      <c r="L19" s="825">
        <f t="shared" si="13"/>
        <v>1865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14534</v>
      </c>
      <c r="X19" s="824">
        <f t="shared" si="14"/>
        <v>2077</v>
      </c>
      <c r="Y19" s="831">
        <f t="shared" si="14"/>
        <v>16256</v>
      </c>
      <c r="Z19" s="831">
        <f t="shared" si="14"/>
        <v>0</v>
      </c>
      <c r="AA19" s="831">
        <f t="shared" si="14"/>
        <v>1988</v>
      </c>
      <c r="AB19" s="831">
        <f t="shared" si="14"/>
        <v>7816</v>
      </c>
      <c r="AC19" s="831">
        <f t="shared" si="14"/>
        <v>2422</v>
      </c>
      <c r="AD19" s="831">
        <f t="shared" si="14"/>
        <v>0</v>
      </c>
      <c r="AE19" s="833">
        <f t="shared" si="14"/>
        <v>0</v>
      </c>
      <c r="AF19" s="834">
        <f t="shared" si="14"/>
        <v>0</v>
      </c>
      <c r="AG19" s="835">
        <f t="shared" si="14"/>
        <v>0</v>
      </c>
      <c r="AH19" s="833">
        <f t="shared" si="14"/>
        <v>0</v>
      </c>
      <c r="AI19" s="823">
        <f t="shared" si="14"/>
        <v>3585</v>
      </c>
      <c r="AJ19" s="823">
        <f t="shared" si="14"/>
        <v>0</v>
      </c>
      <c r="AK19" s="833">
        <f t="shared" si="14"/>
        <v>0</v>
      </c>
      <c r="AL19" s="887">
        <f>IF(ISNUMBER(NºAsuntos!G19/NºAsuntos!E19),NºAsuntos!G19/NºAsuntos!E19," - ")</f>
        <v>0.95094253917783333</v>
      </c>
      <c r="AM19" s="888">
        <f>IF(ISNUMBER(((NºAsuntos!I19/NºAsuntos!G19)*11)/factor_trimestre),((NºAsuntos!I19/NºAsuntos!G19)*11)/factor_trimestre," - ")</f>
        <v>3.6373298304275137</v>
      </c>
      <c r="AN19" s="888">
        <f>IF(ISNUMBER('Resol  Asuntos'!D19/NºAsuntos!G19),'Resol  Asuntos'!D19/NºAsuntos!G19," - ")</f>
        <v>0.14270360640076427</v>
      </c>
      <c r="AO19" s="889">
        <f>IF(ISNUMBER((NºAsuntos!C19+NºAsuntos!E19)/NºAsuntos!G19),(NºAsuntos!C19+NºAsuntos!E19)/NºAsuntos!G19," - ")</f>
        <v>1.3268051906695326</v>
      </c>
      <c r="AP19" s="890" t="str">
        <f t="shared" si="2"/>
        <v xml:space="preserve"> - </v>
      </c>
      <c r="AQ19" s="891">
        <f>IF(OR(ISNUMBER(FIND("01",Criterios!A8,1)),ISNUMBER(FIND("02",Criterios!A8,1)),ISNUMBER(FIND("03",Criterios!A8,1)),ISNUMBER(FIND("04",Criterios!A8,1))),(I19-W19+K19)/(F19-K19),(H19-W19+K19)/(F19-K19))</f>
        <v>-8.8191747572815533</v>
      </c>
      <c r="AR19" s="892">
        <f>IF(ISNUMBER((Datos!P19-Datos!Q19)/(Datos!R19-Datos!P19+Datos!Q19)),(Datos!P19-Datos!Q19)/(Datos!R19-Datos!P19+Datos!Q19)," - ")</f>
        <v>-2.6407573492775286E-2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550.33333333333337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2.3979157616563596</v>
      </c>
      <c r="F21" s="255">
        <f>IF(ISNUMBER(STDEV(F8:F18)),STDEV(F8:F18),"-")</f>
        <v>892.61649099711349</v>
      </c>
      <c r="G21" s="256">
        <f>IF(ISNUMBER(STDEV(G8:G18)),STDEV(G8:G18),"-")</f>
        <v>803.52564779642637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7179.5913718446864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902.1873023776318</v>
      </c>
      <c r="AJ21" s="255">
        <f t="shared" si="18"/>
        <v>0</v>
      </c>
      <c r="AK21" s="257">
        <f t="shared" si="18"/>
        <v>0</v>
      </c>
      <c r="AL21" s="252">
        <f t="shared" si="18"/>
        <v>0.10117016045673702</v>
      </c>
      <c r="AM21" s="253">
        <f t="shared" si="18"/>
        <v>2.7533657428760505</v>
      </c>
      <c r="AN21" s="253">
        <f t="shared" si="18"/>
        <v>0.12525863314878369</v>
      </c>
      <c r="AO21" s="254">
        <f t="shared" si="18"/>
        <v>0.25286081279879791</v>
      </c>
      <c r="AP21" s="294" t="str">
        <f t="shared" si="18"/>
        <v>-</v>
      </c>
      <c r="AQ21" s="295">
        <f t="shared" si="18"/>
        <v>0.45229388047462965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avpcDJdu1KsFn6+EBlZ3efgMYh8J3D7AIvwb2h060iHkAKJnD+x4v81BAk8XAelqJZhUrN2EG7jpNhGlzxi8A==" saltValue="tV+u00ZQLw8RR5vRtxFM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ARRECIFE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9.9015990159901604E-2</v>
      </c>
      <c r="I9" s="353">
        <f>IF(ISNUMBER((Tasas!C9-Datos!BE9)/Datos!BE9),(Tasas!C9-Datos!BE9)/Datos!BE9," - ")</f>
        <v>6.8439852647378299E-2</v>
      </c>
      <c r="J9" s="352">
        <f>IF(ISNUMBER((Tasas!D9-Datos!BF9)/Datos!BF9),(Tasas!D9-Datos!BF9)/Datos!BF9," - ")</f>
        <v>-0.70697995532127489</v>
      </c>
      <c r="K9" s="354">
        <f>IF(ISNUMBER((Tasas!E9-Datos!BG9)/Datos!BG9),(Tasas!E9-Datos!BG9)/Datos!BG9," - ")</f>
        <v>2.5506983638754411E-2</v>
      </c>
      <c r="M9" t="e">
        <f>IF(Monitorios="SI",Datos!CE9,0)</f>
        <v>#REF!</v>
      </c>
      <c r="N9" t="e">
        <f>IF(Monitorios="SI",Datos!CF9,0)</f>
        <v>#REF!</v>
      </c>
      <c r="O9" t="e">
        <f>IF(Monitorios="SI",Datos!CG9,0)</f>
        <v>#REF!</v>
      </c>
      <c r="P9" t="e">
        <f>IF(Monitorios="SI",Datos!CH9,0)</f>
        <v>#REF!</v>
      </c>
      <c r="Q9">
        <f>IF(J_V="SI",0,Datos!AG9)</f>
        <v>134</v>
      </c>
      <c r="R9">
        <f>IF(J_V="SI",0,Datos!AH9)</f>
        <v>608</v>
      </c>
      <c r="S9">
        <f>IF(J_V="SI",0,Datos!AI9)</f>
        <v>558</v>
      </c>
      <c r="T9">
        <f>IF(J_V="SI",0,Datos!AJ9)</f>
        <v>179</v>
      </c>
    </row>
    <row r="10" spans="2:20" ht="14.25">
      <c r="B10" s="278" t="s">
        <v>246</v>
      </c>
      <c r="C10" s="7" t="str">
        <f>Datos!A10</f>
        <v>Jdos. Violencia contra la mujer</v>
      </c>
      <c r="D10" s="355">
        <f>IF(ISNUMBER((Datos!I10-Datos!S10)/Datos!S10),(Datos!I10-Datos!S10)/Datos!S10," - ")</f>
        <v>-0.56000000000000005</v>
      </c>
      <c r="E10" s="351">
        <f>IF(ISNUMBER((Datos!J10-Datos!T10)/Datos!T10),(Datos!J10-Datos!T10)/Datos!T10," - ")</f>
        <v>0.24050632911392406</v>
      </c>
      <c r="F10" s="351">
        <f>IF(ISNUMBER((Datos!K10-Datos!U10)/Datos!U10),(Datos!K10-Datos!U10)/Datos!U10," - ")</f>
        <v>0.11827956989247312</v>
      </c>
      <c r="G10" s="352">
        <f>IF(ISNUMBER((Datos!L10-Datos!V10)/Datos!V10),(Datos!L10-Datos!V10)/Datos!V10," - ")</f>
        <v>-0.54545454545454541</v>
      </c>
      <c r="H10" s="233">
        <f>IF(ISNUMBER((Datos!M10-Datos!W10)/Datos!W10),(Datos!M10-Datos!W10)/Datos!W10," - ")</f>
        <v>8.1081081081081086E-2</v>
      </c>
      <c r="I10" s="353">
        <f>IF(ISNUMBER((Tasas!C10-Datos!BE10)/Datos!BE10),(Tasas!C10-Datos!BE10)/Datos!BE10," - ")</f>
        <v>-0.59353146853146854</v>
      </c>
      <c r="J10" s="352">
        <f>IF(ISNUMBER((Tasas!D10-Datos!BF10)/Datos!BF10),(Tasas!D10-Datos!BF10)/Datos!BF10," - ")</f>
        <v>-3.3264033264033162E-2</v>
      </c>
      <c r="K10" s="354">
        <f>IF(ISNUMBER((Tasas!E10-Datos!BG10)/Datos!BG10),(Tasas!E10-Datos!BG10)/Datos!BG10," - ")</f>
        <v>-6.2777366863905198E-2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9.8616957306073366E-2</v>
      </c>
      <c r="I13" s="360">
        <f>IF(ISNUMBER((Tasas!C13-Datos!BE13)/Datos!BE13),(Tasas!C13-Datos!BE13)/Datos!BE13," - ")</f>
        <v>6.6306259834258752E-2</v>
      </c>
      <c r="J13" s="358">
        <f>IF(ISNUMBER((Tasas!D13-Datos!BF13)/Datos!BF13),(Tasas!D13-Datos!BF13)/Datos!BF13," - ")</f>
        <v>-0.70260232442183757</v>
      </c>
      <c r="K13" s="361">
        <f>IF(ISNUMBER((Tasas!E13-Datos!BG13)/Datos!BG13),(Tasas!E13-Datos!BG13)/Datos!BG13," - ")</f>
        <v>2.4619633498299785E-2</v>
      </c>
      <c r="M13" t="e">
        <f>IF(Monitorios="SI",Datos!CE13,0)</f>
        <v>#REF!</v>
      </c>
      <c r="N13" t="e">
        <f>IF(Monitorios="SI",Datos!CF13,0)</f>
        <v>#REF!</v>
      </c>
      <c r="O13" t="e">
        <f>IF(Monitorios="SI",Datos!CG13,0)</f>
        <v>#REF!</v>
      </c>
      <c r="P13" t="e">
        <f>IF(Monitorios="SI",Datos!CH13,0)</f>
        <v>#REF!</v>
      </c>
      <c r="Q13">
        <f>IF(J_V="SI",0,Datos!AG13)</f>
        <v>134</v>
      </c>
      <c r="R13">
        <f>IF(J_V="SI",0,Datos!AH13)</f>
        <v>608</v>
      </c>
      <c r="S13">
        <f>IF(J_V="SI",0,Datos!AI13)</f>
        <v>558</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4.5051194539249148E-2</v>
      </c>
      <c r="E15" s="351">
        <f>IF(ISNUMBER(
   IF(D_I="SI",(Datos!J15-Datos!T15)/Datos!T15,(Datos!J15+Datos!AD15-(Datos!T15+Datos!AL15))/(Datos!T15+Datos!AL15))
     ),IF(D_I="SI",(Datos!J15-Datos!T15)/Datos!T15,(Datos!J15+Datos!AD15-(Datos!T15+Datos!AL15))/(Datos!T15+Datos!AL15))," - ")</f>
        <v>2.6179159049360145E-2</v>
      </c>
      <c r="F15" s="351">
        <f>IF(ISNUMBER(
   IF(D_I="SI",(Datos!K15-Datos!U15)/Datos!U15,(Datos!K15+Datos!AE15-(Datos!U15+Datos!AM15))/(Datos!U15+Datos!AM15))
     ),IF(D_I="SI",(Datos!K15-Datos!U15)/Datos!U15,(Datos!K15+Datos!AE15-(Datos!U15+Datos!AM15))/(Datos!U15+Datos!AM15))," - ")</f>
        <v>4.5928410002187064E-3</v>
      </c>
      <c r="G15" s="352">
        <f>IF(ISNUMBER(
   IF(D_I="SI",(Datos!L15-Datos!V15)/Datos!V15,(Datos!L15+Datos!AF15-(Datos!V15+Datos!AN15))/(Datos!V15+Datos!AN15))
     ),IF(D_I="SI",(Datos!L15-Datos!V15)/Datos!V15,(Datos!L15+Datos!AF15-(Datos!V15+Datos!AN15))/(Datos!V15+Datos!AN15))," - ")</f>
        <v>0.23448726322664926</v>
      </c>
      <c r="H15" s="233">
        <f>IF(ISNUMBER((Datos!M15-Datos!W15)/Datos!W15),(Datos!M15-Datos!W15)/Datos!W15," - ")</f>
        <v>5.9379217273954114E-2</v>
      </c>
      <c r="I15" s="353">
        <f>IF(ISNUMBER((Tasas!C15-Datos!BE15)/Datos!BE15),(Tasas!C15-Datos!BE15)/Datos!BE15," - ")</f>
        <v>0.22884338096371171</v>
      </c>
      <c r="J15" s="352">
        <f>IF(ISNUMBER((Tasas!D15-Datos!BF15)/Datos!BF15),(Tasas!D15-Datos!BF15)/Datos!BF15," - ")</f>
        <v>5.4535901549116667E-2</v>
      </c>
      <c r="K15" s="354">
        <f>IF(ISNUMBER((Tasas!E15-Datos!BG15)/Datos!BG15),(Tasas!E15-Datos!BG15)/Datos!BG15," - ")</f>
        <v>2.3305404996040887E-2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-1</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-0.24475524475524477</v>
      </c>
      <c r="E17" s="351">
        <f>IF(ISNUMBER(
   IF(D_I="SI",(Datos!J17-Datos!T17)/Datos!T17,(Datos!J17+Datos!AD17-(Datos!T17+Datos!AL17))/(Datos!T17+Datos!AL17))
     ),IF(D_I="SI",(Datos!J17-Datos!T17)/Datos!T17,(Datos!J17+Datos!AD17-(Datos!T17+Datos!AL17))/(Datos!T17+Datos!AL17))," - ")</f>
        <v>-7.1111111111111111E-2</v>
      </c>
      <c r="F17" s="351">
        <f>IF(ISNUMBER(
   IF(D_I="SI",(Datos!K17-Datos!U17)/Datos!U17,(Datos!K17+Datos!AE17-(Datos!U17+Datos!AM17))/(Datos!U17+Datos!AM17))
     ),IF(D_I="SI",(Datos!K17-Datos!U17)/Datos!U17,(Datos!K17+Datos!AE17-(Datos!U17+Datos!AM17))/(Datos!U17+Datos!AM17))," - ")</f>
        <v>-5.1094890510948905E-2</v>
      </c>
      <c r="G17" s="352">
        <f>IF(ISNUMBER(
   IF(D_I="SI",(Datos!L17-Datos!V17)/Datos!V17,(Datos!L17+Datos!AF17-(Datos!V17+Datos!AN17))/(Datos!V17+Datos!AN17))
     ),IF(D_I="SI",(Datos!L17-Datos!V17)/Datos!V17,(Datos!L17+Datos!AF17-(Datos!V17+Datos!AN17))/(Datos!V17+Datos!AN17))," - ")</f>
        <v>-0.1388888888888889</v>
      </c>
      <c r="H17" s="233">
        <f>IF(ISNUMBER((Datos!M17-Datos!W17)/Datos!W17),(Datos!M17-Datos!W17)/Datos!W17," - ")</f>
        <v>-5.5276381909547742E-2</v>
      </c>
      <c r="I17" s="353">
        <f>IF(ISNUMBER((Tasas!C17-Datos!BE17)/Datos!BE17),(Tasas!C17-Datos!BE17)/Datos!BE17," - ")</f>
        <v>-9.2521367521367526E-2</v>
      </c>
      <c r="J17" s="352">
        <f>IF(ISNUMBER((Tasas!D17-Datos!BF17)/Datos!BF17),(Tasas!D17-Datos!BF17)/Datos!BF17," - ")</f>
        <v>-4.4066486277541022E-3</v>
      </c>
      <c r="K17" s="354">
        <f>IF(ISNUMBER((Tasas!E17-Datos!BG17)/Datos!BG17),(Tasas!E17-Datos!BG17)/Datos!BG17," - ")</f>
        <v>-5.3084446116230984E-2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1.9266625233064015E-2</v>
      </c>
      <c r="E18" s="357">
        <f>IF(ISNUMBER(
   IF(D_I="SI",(Datos!J18-Datos!T18)/Datos!T18,(Datos!J18+Datos!AD18-(Datos!T18+Datos!AL18))/(Datos!T18+Datos!AL18))
     ),IF(D_I="SI",(Datos!J18-Datos!T18)/Datos!T18,(Datos!J18+Datos!AD18-(Datos!T18+Datos!AL18))/(Datos!T18+Datos!AL18))," - ")</f>
        <v>2.1602787456445994E-2</v>
      </c>
      <c r="F18" s="357">
        <f>IF(ISNUMBER(
   IF(D_I="SI",(Datos!K18-Datos!U18)/Datos!U18,(Datos!K18+Datos!AE18-(Datos!U18+Datos!AM18))/(Datos!U18+Datos!AM18))
     ),IF(D_I="SI",(Datos!K18-Datos!U18)/Datos!U18,(Datos!K18+Datos!AE18-(Datos!U18+Datos!AM18))/(Datos!U18+Datos!AM18))," - ")</f>
        <v>1.9441744202194141E-3</v>
      </c>
      <c r="G18" s="358">
        <f>IF(ISNUMBER(
   IF(D_I="SI",(Datos!L18-Datos!V18)/Datos!V18,(Datos!L18+Datos!AF18-(Datos!V18+Datos!AN18))/(Datos!V18+Datos!AN18))
     ),IF(D_I="SI",(Datos!L18-Datos!V18)/Datos!V18,(Datos!L18+Datos!AF18-(Datos!V18+Datos!AN18))/(Datos!V18+Datos!AN18))," - ")</f>
        <v>0.20914634146341463</v>
      </c>
      <c r="H18" s="359">
        <f>IF(ISNUMBER((Datos!M18-Datos!W18)/Datos!W18),(Datos!M18-Datos!W18)/Datos!W18," - ")</f>
        <v>4.5806067816775729E-2</v>
      </c>
      <c r="I18" s="360">
        <f>IF(ISNUMBER((Tasas!C18-Datos!BE18)/Datos!BE18),(Tasas!C18-Datos!BE18)/Datos!BE18," - ")</f>
        <v>0.20680011155620923</v>
      </c>
      <c r="J18" s="358">
        <f>IF(ISNUMBER((Tasas!D18-Datos!BF18)/Datos!BF18),(Tasas!D18-Datos!BF18)/Datos!BF18," - ")</f>
        <v>4.3776783693499972E-2</v>
      </c>
      <c r="K18" s="361">
        <f>IF(ISNUMBER((Tasas!E18-Datos!BG18)/Datos!BG18),(Tasas!E18-Datos!BG18)/Datos!BG18," - ")</f>
        <v>1.9385390586593679E-2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0.15329441201000835</v>
      </c>
      <c r="E19" s="366">
        <f>IF(ISNUMBER(
   IF(J_V="SI",(Datos!J19-Datos!T19)/Datos!T19,(Datos!J19+Datos!Z19-(Datos!T19+Datos!AH19))/(Datos!T19+Datos!AH19))
     ),IF(J_V="SI",(Datos!J19-Datos!T19)/Datos!T19,(Datos!J19+Datos!Z19-(Datos!T19+Datos!AH19))/(Datos!T19+Datos!AH19))," - ")</f>
        <v>6.7566475389962008E-2</v>
      </c>
      <c r="F19" s="366">
        <f>IF(ISNUMBER(
   IF(J_V="SI",(Datos!K19-Datos!U19)/Datos!U19,(Datos!K19+Datos!AA19-(Datos!U19+Datos!AI19))/(Datos!U19+Datos!AI19))
     ),IF(J_V="SI",(Datos!K19-Datos!U19)/Datos!U19,(Datos!K19+Datos!AA19-(Datos!U19+Datos!AI19))/(Datos!U19+Datos!AI19))," - ")</f>
        <v>5.0690087829360103E-2</v>
      </c>
      <c r="G19" s="367">
        <f>IF(ISNUMBER(
   IF(J_V="SI",(Datos!L19-Datos!V19)/Datos!V19,(Datos!L19+Datos!AB19-(Datos!V19+Datos!AJ19))/(Datos!V19+Datos!AJ19))
     ),IF(J_V="SI",(Datos!L19-Datos!V19)/Datos!V19,(Datos!L19+Datos!AB19-(Datos!V19+Datos!AJ19))/(Datos!V19+Datos!AJ19))," - ")</f>
        <v>0.20147526757304021</v>
      </c>
      <c r="H19" s="368">
        <f>IF(ISNUMBER((Datos!M19-Datos!W19)/Datos!W19),(Datos!M19-Datos!W19)/Datos!W19," - ")</f>
        <v>7.2069377990430616E-2</v>
      </c>
      <c r="I19" s="365">
        <f>IF(ISNUMBER((Tasas!C19-Datos!BE19)/Datos!BE19),(Tasas!C19-Datos!BE19)/Datos!BE19," - ")</f>
        <v>0.14351061410999899</v>
      </c>
      <c r="J19" s="366">
        <f>IF(ISNUMBER((Tasas!D19-Datos!BF19)/Datos!BF19),(Tasas!D19-Datos!BF19)/Datos!BF19," - ")</f>
        <v>-0.52239036547560569</v>
      </c>
      <c r="K19" s="367">
        <f>IF(ISNUMBER((Tasas!E19-Datos!BG19)/Datos!BG19),(Tasas!E19-Datos!BG19)/Datos!BG19," - ")</f>
        <v>3.1973979665870469E-2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0.25800020675835389</v>
      </c>
      <c r="E21" s="281">
        <f t="shared" si="1"/>
        <v>0.13198564702993412</v>
      </c>
      <c r="F21" s="281">
        <f t="shared" si="1"/>
        <v>7.1336985315672438E-2</v>
      </c>
      <c r="G21" s="282">
        <f t="shared" si="1"/>
        <v>0.52622834328292578</v>
      </c>
      <c r="H21" s="288">
        <f t="shared" si="1"/>
        <v>5.7938483638941475E-2</v>
      </c>
      <c r="I21" s="280">
        <f t="shared" si="1"/>
        <v>0.30424538005468815</v>
      </c>
      <c r="J21" s="281">
        <f t="shared" si="1"/>
        <v>0.37315247762086062</v>
      </c>
      <c r="K21" s="282">
        <f t="shared" si="1"/>
        <v>4.2062136538144758E-2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M4ByFE2F4YI645IajIPKa2jtBrRVTErGxVx/joKDWEffMjgg05fBcPEi6z60eO64PvDMSHAEqhOY2+tASdwQ==" saltValue="mtryyIgP34PYnofuuNfj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